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ТСО'!$DV$39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ТСО'!$DV$58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REESTR_IP!$A$2:$I$8</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<sst xmlns="http://schemas.openxmlformats.org/spreadsheetml/2006/main" count="17108" uniqueCount="4171">
  <si>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</si>
  <si>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</si>
  <si>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</si>
  <si>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</si>
  <si>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</si>
  <si>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</si>
  <si>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</si>
  <si>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</si>
  <si>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</si>
  <si>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</si>
  <si>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</si>
  <si>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</si>
  <si>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</si>
  <si>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26319322</t>
  </si>
  <si>
    <t>Flag_Row_Size</t>
  </si>
  <si>
    <t>Субъект РФ</t>
  </si>
  <si>
    <t>Курская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</si>
  <si>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</si>
  <si>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</si>
  <si>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</si>
  <si>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</si>
  <si>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</si>
  <si>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</si>
  <si>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</si>
  <si>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</si>
  <si>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</si>
  <si>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</si>
  <si>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</si>
  <si>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</si>
  <si>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</si>
  <si>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</si>
  <si>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</si>
  <si>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</si>
  <si>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</si>
  <si>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</si>
  <si>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</si>
  <si>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</si>
  <si>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</si>
  <si>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</si>
  <si>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</si>
  <si>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</si>
  <si>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48</t>
  </si>
  <si>
    <t>Наименование органа регулирования, принявшего решение об утверждении тарифов</t>
  </si>
  <si>
    <t>Комитет по тарифам и ценам Курской области</t>
  </si>
  <si>
    <t>Источник официального опубликования решения</t>
  </si>
  <si>
    <t>газета "Курская правда" №131 от 02.11.2023 г.</t>
  </si>
  <si>
    <t>Открывается, если Тип отчёта "изменения в раскрытой ранее информации"</t>
  </si>
  <si>
    <t>66</t>
  </si>
  <si>
    <t>Наименование органа регулирования, принявшего решение об изменении тарифов</t>
  </si>
  <si>
    <t>https://kurskpravo.ru/accepted-npa-prewev/2528</t>
  </si>
  <si>
    <t>ООО "Энерго-Сервис"</t>
  </si>
  <si>
    <t>Наименование (описание) обособленного подразделения</t>
  </si>
  <si>
    <t>ИНН</t>
  </si>
  <si>
    <t>4632032678</t>
  </si>
  <si>
    <t>КПП</t>
  </si>
  <si>
    <t>463201001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</si>
  <si>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</si>
  <si>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</si>
  <si>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</si>
  <si>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</si>
  <si>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</si>
  <si>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</si>
  <si>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</si>
  <si>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</si>
  <si>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</si>
  <si>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</si>
  <si>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</si>
  <si>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</si>
  <si>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</si>
  <si>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</si>
  <si>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</si>
  <si>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</si>
  <si>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</si>
  <si>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</si>
  <si>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305044, Курская область, г. Курск, ул. 2-я Рабочая, дом 23, литер В5, помещение 12</t>
  </si>
  <si>
    <t>Фамилия, имя, отчество руководителя</t>
  </si>
  <si>
    <t>Карачевцев Сергей Станиславович</t>
  </si>
  <si>
    <t>Ответственный за заполнение формы</t>
  </si>
  <si>
    <t>Фамилия, имя, отчество</t>
  </si>
  <si>
    <t>Туравинина Анна Владимировна</t>
  </si>
  <si>
    <t>Должность</t>
  </si>
  <si>
    <t>Ведущий инженер по учету и тарификации энергоресурсов</t>
  </si>
  <si>
    <t>Контактный телефон</t>
  </si>
  <si>
    <t>(4712)39-99-11(36-91)</t>
  </si>
  <si>
    <t>E-mail</t>
  </si>
  <si>
    <t>aturavinina@keaz.ru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</si>
  <si>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</si>
  <si>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</si>
  <si>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</si>
  <si>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</si>
  <si>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</si>
  <si>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</si>
  <si>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</si>
  <si>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</si>
  <si>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</si>
  <si>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</si>
  <si>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</si>
  <si>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</si>
  <si>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</si>
  <si>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</si>
  <si>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</si>
  <si>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</si>
  <si>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</si>
  <si>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344</t>
  </si>
  <si>
    <t>город Курск</t>
  </si>
  <si>
    <t>38701000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</si>
  <si>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</si>
  <si>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</si>
  <si>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</si>
  <si>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</si>
  <si>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</si>
  <si>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</si>
  <si>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</si>
  <si>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</si>
  <si>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</si>
  <si>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</si>
  <si>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</si>
  <si>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</si>
  <si>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</si>
  <si>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</si>
  <si>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</si>
  <si>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</si>
  <si>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</si>
  <si>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</si>
  <si>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</si>
  <si>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</si>
  <si>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</si>
  <si>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</si>
  <si>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</si>
  <si>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</si>
  <si>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</si>
  <si>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</si>
  <si>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</si>
  <si>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</si>
  <si>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</si>
  <si>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</si>
  <si>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</si>
  <si>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</si>
  <si>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</si>
  <si>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</si>
  <si>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</si>
  <si>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</si>
  <si>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</si>
  <si>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</si>
  <si>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</si>
  <si>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</si>
  <si>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</si>
  <si>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</si>
  <si>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</si>
  <si>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</si>
  <si>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</si>
  <si>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</si>
  <si>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</si>
  <si>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</si>
  <si>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</si>
  <si>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</si>
  <si>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</si>
  <si>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</si>
  <si>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</si>
  <si>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</si>
  <si>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</si>
  <si>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</si>
  <si>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</si>
  <si>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</si>
  <si>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</si>
  <si>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одноставочный, руб/Гкал</t>
  </si>
  <si>
    <t>"4190064"</t>
  </si>
  <si>
    <t>pIns_PT_VTAR_B</t>
  </si>
  <si>
    <t>pt_ntar_2</t>
  </si>
  <si>
    <t>pt_ter_2</t>
  </si>
  <si>
    <t>pt_cs_2</t>
  </si>
  <si>
    <t>pt_ist_te_2</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</si>
  <si>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</si>
  <si>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</si>
  <si>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</si>
  <si>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</si>
  <si>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</si>
  <si>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</si>
  <si>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</si>
  <si>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</si>
  <si>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</si>
  <si>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</si>
  <si>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</si>
  <si>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</si>
  <si>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</si>
  <si>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</si>
  <si>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</si>
  <si>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</si>
  <si>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</si>
  <si>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</si>
  <si>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</si>
  <si>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</si>
  <si>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</si>
  <si>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</si>
  <si>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</si>
  <si>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</si>
  <si>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</si>
  <si>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</si>
  <si>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</si>
  <si>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</si>
  <si>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</si>
  <si>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</si>
  <si>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</si>
  <si>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</si>
  <si>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</si>
  <si>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</si>
  <si>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</si>
  <si>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</si>
  <si>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</si>
  <si>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</si>
  <si>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</si>
  <si>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</si>
  <si>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</si>
  <si>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</si>
  <si>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</si>
  <si>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</si>
  <si>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</si>
  <si>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</si>
  <si>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</si>
  <si>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</si>
  <si>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</si>
  <si>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</si>
  <si>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</si>
  <si>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</si>
  <si>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</si>
  <si>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</si>
  <si>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</si>
  <si>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</si>
  <si>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</si>
  <si>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</si>
  <si>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</si>
  <si>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</si>
  <si>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</si>
  <si>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</si>
  <si>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</si>
  <si>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</si>
  <si>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</si>
  <si>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</si>
  <si>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</si>
  <si>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</si>
  <si>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</si>
  <si>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</si>
  <si>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</si>
  <si>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</si>
  <si>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</si>
  <si>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</si>
  <si>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</si>
  <si>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</si>
  <si>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</si>
  <si>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</si>
  <si>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</si>
  <si>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</si>
  <si>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</si>
  <si>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</si>
  <si>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</si>
  <si>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</si>
  <si>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</si>
  <si>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</si>
  <si>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</si>
  <si>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</si>
  <si>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</si>
  <si>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</si>
  <si>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</si>
  <si>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</si>
  <si>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</si>
  <si>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</si>
  <si>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</si>
  <si>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</si>
  <si>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</si>
  <si>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</si>
  <si>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</si>
  <si>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</si>
  <si>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</si>
  <si>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</si>
  <si>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</si>
  <si>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</si>
  <si>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</si>
  <si>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</si>
  <si>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</si>
  <si>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</si>
  <si>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</si>
  <si>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</si>
  <si>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</si>
  <si>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</si>
  <si>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</si>
  <si>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</si>
  <si>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</si>
  <si>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</si>
  <si>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</si>
  <si>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</si>
  <si>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</si>
  <si>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</si>
  <si>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</si>
  <si>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</si>
  <si>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</si>
  <si>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</si>
  <si>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</si>
  <si>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</si>
  <si>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</si>
  <si>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</si>
  <si>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</si>
  <si>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</si>
  <si>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</si>
  <si>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</si>
  <si>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</si>
  <si>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</si>
  <si>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</si>
  <si>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</si>
  <si>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</si>
  <si>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</si>
  <si>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</si>
  <si>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</si>
  <si>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</si>
  <si>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</si>
  <si>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</si>
  <si>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</si>
  <si>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</si>
  <si>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</si>
  <si>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</si>
  <si>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</si>
  <si>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</si>
  <si>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</si>
  <si>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</si>
  <si>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</si>
  <si>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</si>
  <si>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</si>
  <si>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</si>
  <si>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</si>
  <si>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</si>
  <si>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</si>
  <si>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</si>
  <si>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</si>
  <si>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</si>
  <si>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</si>
  <si>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</si>
  <si>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</si>
  <si>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</si>
  <si>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</si>
  <si>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</si>
  <si>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</si>
  <si>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</si>
  <si>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</si>
  <si>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</si>
  <si>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</si>
  <si>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</si>
  <si>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</si>
  <si>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</si>
  <si>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</si>
  <si>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</si>
  <si>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</si>
  <si>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</si>
  <si>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</si>
  <si>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</si>
  <si>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</si>
  <si>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</si>
  <si>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</si>
  <si>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</si>
  <si>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</si>
  <si>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</si>
  <si>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</si>
  <si>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</si>
  <si>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</si>
  <si>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</si>
  <si>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</si>
  <si>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</si>
  <si>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</si>
  <si>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</si>
  <si>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</si>
  <si>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</si>
  <si>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</si>
  <si>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</si>
  <si>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</si>
  <si>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</si>
  <si>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</si>
  <si>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</si>
  <si>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</si>
  <si>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</si>
  <si>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</si>
  <si>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</si>
  <si>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</si>
  <si>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</si>
  <si>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</si>
  <si>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</si>
  <si>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</si>
  <si>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</si>
  <si>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</si>
  <si>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</si>
  <si>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</si>
  <si>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</si>
  <si>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</si>
  <si>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</si>
  <si>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</si>
  <si>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</si>
  <si>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</si>
  <si>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</si>
  <si>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</si>
  <si>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</si>
  <si>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</si>
  <si>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</si>
  <si>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</si>
  <si>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</si>
  <si>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</si>
  <si>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</si>
  <si>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</si>
  <si>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</si>
  <si>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</si>
  <si>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</si>
  <si>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</si>
  <si>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</si>
  <si>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</si>
  <si>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</si>
  <si>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</si>
  <si>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</si>
  <si>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</si>
  <si>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</si>
  <si>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</si>
  <si>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</si>
  <si>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</si>
  <si>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</si>
  <si>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</si>
  <si>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</si>
  <si>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</si>
  <si>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</si>
  <si>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</si>
  <si>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</si>
  <si>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</si>
  <si>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</si>
  <si>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</si>
  <si>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</si>
  <si>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</si>
  <si>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</si>
  <si>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</si>
  <si>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</si>
  <si>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</si>
  <si>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</si>
  <si>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</si>
  <si>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</si>
  <si>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</si>
  <si>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</si>
  <si>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</si>
  <si>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</si>
  <si>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</si>
  <si>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</si>
  <si>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</si>
  <si>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</si>
  <si>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</si>
  <si>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</si>
  <si>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</si>
  <si>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</si>
  <si>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</si>
  <si>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</si>
  <si>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</si>
  <si>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</si>
  <si>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t>
  </si>
  <si>
    <t>Период действия</t>
  </si>
  <si>
    <t>без дифференциации</t>
  </si>
  <si>
    <t>прочие</t>
  </si>
  <si>
    <t>вода</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</si>
  <si>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</si>
  <si>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</si>
  <si>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</si>
  <si>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</si>
  <si>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</si>
  <si>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</si>
  <si>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</si>
  <si>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</si>
  <si>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</si>
  <si>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</si>
  <si>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</si>
  <si>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</si>
  <si>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</si>
  <si>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</si>
  <si>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</si>
  <si>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</si>
  <si>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</si>
  <si>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</si>
  <si>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</si>
  <si>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</si>
  <si>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</si>
  <si>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</si>
  <si>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</si>
  <si>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</si>
  <si>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</si>
  <si>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</si>
  <si>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</si>
  <si>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</si>
  <si>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</si>
  <si>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</si>
  <si>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</si>
  <si>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</si>
  <si>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</si>
  <si>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</si>
  <si>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</si>
  <si>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</si>
  <si>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</si>
  <si>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</si>
  <si>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</si>
  <si>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</si>
  <si>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</si>
  <si>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</si>
  <si>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</si>
  <si>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</si>
  <si>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</si>
  <si>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</si>
  <si>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</si>
  <si>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</si>
  <si>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</si>
  <si>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</si>
  <si>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</si>
  <si>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</si>
  <si>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</si>
  <si>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</si>
  <si>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</si>
  <si>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</si>
  <si>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</si>
  <si>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</si>
  <si>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</si>
  <si>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</si>
  <si>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</si>
  <si>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</si>
  <si>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</si>
  <si>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</si>
  <si>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</si>
  <si>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</si>
  <si>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</si>
  <si>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</si>
  <si>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</si>
  <si>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</si>
  <si>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</si>
  <si>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</si>
  <si>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</si>
  <si>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</si>
  <si>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</si>
  <si>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</si>
  <si>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</si>
  <si>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</si>
  <si>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</si>
  <si>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</si>
  <si>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</si>
  <si>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</si>
  <si>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</si>
  <si>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</si>
  <si>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</si>
  <si>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</si>
  <si>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</si>
  <si>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</si>
  <si>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</si>
  <si>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</si>
  <si>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</si>
  <si>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</si>
  <si>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</si>
  <si>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</si>
  <si>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</si>
  <si>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</si>
  <si>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</si>
  <si>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</si>
  <si>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</si>
  <si>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</si>
  <si>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</si>
  <si>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</si>
  <si>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</si>
  <si>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</si>
  <si>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</si>
  <si>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</si>
  <si>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</si>
  <si>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</si>
  <si>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</si>
  <si>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</si>
  <si>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</si>
  <si>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</si>
  <si>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</si>
  <si>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</si>
  <si>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</si>
  <si>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</si>
  <si>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</si>
  <si>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</si>
  <si>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</si>
  <si>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</si>
  <si>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</si>
  <si>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</si>
  <si>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</si>
  <si>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</si>
  <si>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</si>
  <si>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</si>
  <si>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</si>
  <si>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</si>
  <si>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</si>
  <si>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</si>
  <si>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</si>
  <si>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</si>
  <si>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</si>
  <si>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</si>
  <si>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</si>
  <si>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</si>
  <si>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</si>
  <si>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</si>
  <si>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</si>
  <si>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</si>
  <si>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</si>
  <si>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</si>
  <si>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</si>
  <si>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</si>
  <si>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</si>
  <si>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</si>
  <si>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</si>
  <si>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</si>
  <si>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</si>
  <si>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</si>
  <si>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</si>
  <si>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</si>
  <si>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</si>
  <si>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</si>
  <si>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</si>
  <si>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</si>
  <si>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</si>
  <si>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</si>
  <si>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</si>
  <si>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</si>
  <si>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</si>
  <si>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</si>
  <si>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</si>
  <si>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</si>
  <si>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</si>
  <si>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</si>
  <si>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</si>
  <si>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</si>
  <si>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</si>
  <si>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</si>
  <si>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</si>
  <si>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</si>
  <si>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</si>
  <si>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</si>
  <si>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</si>
  <si>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</si>
  <si>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</si>
  <si>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</si>
  <si>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</si>
  <si>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</si>
  <si>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</si>
  <si>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</si>
  <si>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</si>
  <si>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</si>
  <si>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</si>
  <si>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</si>
  <si>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</si>
  <si>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</si>
  <si>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</si>
  <si>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</si>
  <si>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</si>
  <si>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</si>
  <si>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</si>
  <si>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</si>
  <si>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</si>
  <si>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</si>
  <si>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</si>
  <si>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</si>
  <si>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</si>
  <si>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</si>
  <si>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</si>
  <si>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</si>
  <si>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</si>
  <si>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</si>
  <si>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</si>
  <si>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</si>
  <si>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</si>
  <si>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</si>
  <si>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</si>
  <si>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</si>
  <si>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</si>
  <si>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</si>
  <si>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</si>
  <si>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</si>
  <si>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</si>
  <si>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</si>
  <si>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</si>
  <si>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</si>
  <si>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</si>
  <si>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</si>
  <si>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</si>
  <si>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</si>
  <si>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</si>
  <si>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</si>
  <si>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</si>
  <si>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</si>
  <si>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</si>
  <si>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</si>
  <si>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</si>
  <si>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</si>
  <si>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</si>
  <si>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</si>
  <si>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</si>
  <si>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</si>
  <si>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</si>
  <si>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</si>
  <si>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</si>
  <si>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</si>
  <si>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</si>
  <si>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</si>
  <si>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</si>
  <si>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</si>
  <si>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</si>
  <si>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</si>
  <si>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</si>
  <si>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</si>
  <si>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</si>
  <si>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</si>
  <si>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</si>
  <si>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</si>
  <si>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</si>
  <si>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</si>
  <si>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</si>
  <si>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</si>
  <si>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</si>
  <si>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</si>
  <si>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</si>
  <si>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</si>
  <si>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</si>
  <si>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</si>
  <si>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</si>
  <si>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</si>
  <si>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</si>
  <si>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</si>
  <si>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</si>
  <si>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</si>
  <si>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</si>
  <si>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</si>
  <si>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</si>
  <si>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</si>
  <si>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</si>
  <si>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</si>
  <si>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</si>
  <si>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</si>
  <si>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</si>
  <si>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</si>
  <si>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</si>
  <si>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</si>
  <si>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</si>
  <si>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</si>
  <si>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</si>
  <si>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</si>
  <si>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</si>
  <si>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</si>
  <si>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</si>
  <si>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</si>
  <si>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</si>
  <si>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</si>
  <si>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</si>
  <si>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</si>
  <si>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</si>
  <si>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</si>
  <si>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</si>
  <si>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</si>
  <si>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</si>
  <si>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</si>
  <si>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</si>
  <si>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</si>
  <si>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</si>
  <si>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</si>
  <si>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</si>
  <si>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</si>
  <si>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</si>
  <si>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</si>
  <si>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</si>
  <si>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</si>
  <si>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</si>
  <si>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</si>
  <si>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</si>
  <si>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</si>
  <si>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</si>
  <si>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</si>
  <si>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</si>
  <si>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</si>
  <si>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</si>
  <si>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</si>
  <si>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</si>
  <si>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</si>
  <si>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</si>
  <si>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</si>
  <si>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</si>
  <si>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</si>
  <si>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</si>
  <si>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</si>
  <si>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</si>
  <si>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</si>
  <si>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</si>
  <si>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</si>
  <si>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</si>
  <si>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</si>
  <si>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</si>
  <si>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</si>
  <si>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</si>
  <si>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</si>
  <si>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</si>
  <si>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</si>
  <si>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</si>
  <si>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</si>
  <si>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</si>
  <si>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</si>
  <si>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</si>
  <si>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</si>
  <si>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</si>
  <si>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</si>
  <si>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</si>
  <si>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</si>
  <si>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</si>
  <si>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</si>
  <si>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</si>
  <si>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</si>
  <si>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</si>
  <si>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</si>
  <si>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</si>
  <si>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</si>
  <si>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</si>
  <si>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</si>
  <si>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</si>
  <si>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</si>
  <si>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</si>
  <si>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</si>
  <si>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</si>
  <si>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</si>
  <si>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</si>
  <si>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</si>
  <si>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</si>
  <si>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</si>
  <si>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</si>
  <si>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</si>
  <si>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</si>
  <si>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</si>
  <si>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</si>
  <si>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</si>
  <si>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</si>
  <si>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</si>
  <si>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</si>
  <si>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</si>
  <si>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</si>
  <si>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</si>
  <si>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</si>
  <si>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</si>
  <si>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</si>
  <si>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</si>
  <si>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</si>
  <si>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</si>
  <si>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</si>
  <si>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</si>
  <si>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</si>
  <si>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</si>
  <si>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</si>
  <si>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</si>
  <si>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</si>
  <si>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</si>
  <si>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</si>
  <si>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</si>
  <si>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</si>
  <si>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</si>
  <si>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</si>
  <si>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</si>
  <si>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</si>
  <si>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</si>
  <si>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</si>
  <si>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</si>
  <si>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</si>
  <si>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</si>
  <si>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</si>
  <si>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</si>
  <si>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</si>
  <si>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</si>
  <si>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</si>
  <si>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</si>
  <si>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</si>
  <si>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</si>
  <si>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</si>
  <si>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</si>
  <si>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</si>
  <si>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</si>
  <si>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</si>
  <si>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</si>
  <si>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</si>
  <si>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</si>
  <si>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</si>
  <si>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</si>
  <si>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</si>
  <si>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</si>
  <si>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</si>
  <si>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</si>
  <si>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</si>
  <si>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</si>
  <si>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</si>
  <si>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</si>
  <si>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</si>
  <si>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</si>
  <si>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</si>
  <si>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</si>
  <si>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</si>
  <si>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</si>
  <si>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</si>
  <si>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</si>
  <si>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</si>
  <si>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</si>
  <si>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</si>
  <si>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</si>
  <si>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</si>
  <si>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</si>
  <si>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</si>
  <si>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</si>
  <si>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</si>
  <si>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</si>
  <si>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</si>
  <si>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</si>
  <si>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</si>
  <si>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</si>
  <si>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</si>
  <si>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</si>
  <si>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</si>
  <si>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</si>
  <si>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</si>
  <si>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</si>
  <si>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</si>
  <si>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</si>
  <si>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</si>
  <si>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</si>
  <si>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</si>
  <si>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</si>
  <si>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</si>
  <si>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</si>
  <si>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</si>
  <si>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</si>
  <si>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</si>
  <si>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</si>
  <si>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</si>
  <si>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</si>
  <si>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</si>
  <si>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</si>
  <si>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</si>
  <si>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</si>
  <si>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</si>
  <si>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</si>
  <si>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</si>
  <si>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</si>
  <si>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</si>
  <si>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</si>
  <si>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</si>
  <si>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</si>
  <si>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</si>
  <si>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</si>
  <si>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</si>
  <si>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</si>
  <si>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</si>
  <si>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</si>
  <si>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</si>
  <si>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</si>
  <si>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</si>
  <si>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</si>
  <si>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</si>
  <si>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</si>
  <si>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</si>
  <si>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</si>
  <si>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</si>
  <si>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</si>
  <si>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</si>
  <si>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</si>
  <si>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</si>
  <si>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</si>
  <si>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</si>
  <si>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</si>
  <si>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</si>
  <si>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</si>
  <si>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</si>
  <si>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</si>
  <si>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</si>
  <si>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</si>
  <si>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</si>
  <si>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</si>
  <si>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</si>
  <si>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</si>
  <si>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</si>
  <si>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</si>
  <si>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</si>
  <si>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</si>
  <si>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</si>
  <si>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</si>
  <si>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</si>
  <si>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</si>
  <si>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</si>
  <si>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</si>
  <si>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</si>
  <si>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</si>
  <si>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</si>
  <si>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</si>
  <si>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</si>
  <si>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</si>
  <si>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</si>
  <si>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</si>
  <si>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</si>
  <si>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</si>
  <si>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</si>
  <si>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</si>
  <si>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</si>
  <si>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</si>
  <si>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</si>
  <si>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</si>
  <si>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</si>
  <si>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</si>
  <si>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</si>
  <si>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</si>
  <si>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</si>
  <si>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</si>
  <si>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</si>
  <si>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</si>
  <si>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</si>
  <si>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</si>
  <si>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</si>
  <si>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</si>
  <si>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</si>
  <si>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</si>
  <si>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</si>
  <si>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</si>
  <si>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</si>
  <si>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</si>
  <si>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</si>
  <si>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</si>
  <si>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</si>
  <si>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</si>
  <si>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</si>
  <si>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</si>
  <si>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</si>
  <si>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</si>
  <si>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</si>
  <si>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</si>
  <si>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</si>
  <si>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</si>
  <si>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</si>
  <si>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</si>
  <si>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</si>
  <si>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</si>
  <si>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</si>
  <si>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</si>
  <si>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</si>
  <si>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</si>
  <si>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</si>
  <si>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</si>
  <si>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</si>
  <si>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</si>
  <si>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</si>
  <si>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</si>
  <si>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</si>
  <si>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</si>
  <si>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</si>
  <si>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</si>
  <si>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</si>
  <si>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</si>
  <si>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</si>
  <si>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</si>
  <si>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</si>
  <si>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</si>
  <si>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</si>
  <si>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</si>
  <si>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</si>
  <si>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</si>
  <si>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</si>
  <si>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</si>
  <si>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</si>
  <si>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</si>
  <si>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</si>
  <si>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</si>
  <si>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</si>
  <si>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</si>
  <si>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</si>
  <si>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</si>
  <si>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</si>
  <si>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</si>
  <si>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</si>
  <si>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</si>
  <si>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</si>
  <si>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</si>
  <si>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</si>
  <si>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</si>
  <si>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</si>
  <si>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</si>
  <si>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</si>
  <si>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</si>
  <si>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</si>
  <si>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</si>
  <si>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</si>
  <si>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</si>
  <si>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</si>
  <si>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</si>
  <si>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</si>
  <si>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</si>
  <si>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</si>
  <si>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</si>
  <si>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</si>
  <si>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</si>
  <si>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</si>
  <si>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</si>
  <si>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</si>
  <si>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</si>
  <si>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</si>
  <si>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</si>
  <si>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</si>
  <si>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</si>
  <si>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</si>
  <si>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</si>
  <si>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</si>
  <si>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</si>
  <si>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</si>
  <si>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</si>
  <si>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</si>
  <si>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</si>
  <si>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</si>
  <si>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</si>
  <si>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</si>
  <si>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</si>
  <si>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</si>
  <si>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</si>
  <si>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</si>
  <si>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</si>
  <si>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</si>
  <si>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</si>
  <si>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</si>
  <si>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</si>
  <si>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</si>
  <si>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</si>
  <si>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</si>
  <si>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</si>
  <si>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</si>
  <si>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</si>
  <si>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</si>
  <si>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</si>
  <si>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</si>
  <si>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</si>
  <si>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</si>
  <si>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</si>
  <si>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</si>
  <si>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</si>
  <si>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</si>
  <si>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</si>
  <si>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</si>
  <si>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</si>
  <si>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</si>
  <si>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</si>
  <si>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</si>
  <si>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</si>
  <si>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</si>
  <si>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</si>
  <si>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</si>
  <si>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</si>
  <si>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</si>
  <si>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</si>
  <si>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</si>
  <si>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</si>
  <si>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</si>
  <si>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</si>
  <si>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</si>
  <si>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</si>
  <si>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</si>
  <si>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</si>
  <si>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</si>
  <si>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</si>
  <si>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</si>
  <si>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</si>
  <si>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</si>
  <si>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</si>
  <si>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</si>
  <si>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</si>
  <si>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</si>
  <si>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</si>
  <si>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</si>
  <si>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</si>
  <si>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</si>
  <si>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</si>
  <si>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</si>
  <si>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</si>
  <si>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</si>
  <si>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</si>
  <si>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</si>
  <si>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</si>
  <si>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</si>
  <si>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</si>
  <si>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</si>
  <si>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</si>
  <si>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</si>
  <si>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</si>
  <si>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</si>
  <si>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</si>
  <si>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</si>
  <si>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</si>
  <si>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</si>
  <si>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</si>
  <si>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</si>
  <si>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</si>
  <si>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</si>
  <si>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</si>
  <si>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</si>
  <si>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</si>
  <si>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</si>
  <si>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</si>
  <si>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</si>
  <si>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</si>
  <si>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</si>
  <si>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</si>
  <si>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</si>
  <si>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</si>
  <si>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</si>
  <si>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</si>
  <si>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</si>
  <si>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</si>
  <si>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</si>
  <si>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</si>
  <si>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</si>
  <si>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</si>
  <si>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</si>
  <si>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</si>
  <si>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</si>
  <si>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</si>
  <si>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</si>
  <si>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</si>
  <si>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</si>
  <si>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</si>
  <si>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</si>
  <si>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</si>
  <si>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</si>
  <si>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</si>
  <si>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</si>
  <si>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</si>
  <si>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</si>
  <si>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</si>
  <si>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</si>
  <si>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</si>
  <si>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</si>
  <si>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</si>
  <si>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</si>
  <si>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</si>
  <si>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</si>
  <si>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</si>
  <si>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</si>
  <si>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</si>
  <si>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</si>
  <si>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</si>
  <si>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</si>
  <si>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</si>
  <si>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</si>
  <si>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</si>
  <si>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</si>
  <si>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</si>
  <si>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</si>
  <si>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</si>
  <si>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</si>
  <si>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</si>
  <si>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</si>
  <si>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</si>
  <si>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</si>
  <si>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</si>
  <si>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</si>
  <si>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</si>
  <si>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</si>
  <si>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</si>
  <si>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</si>
  <si>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</si>
  <si>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</si>
  <si>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</si>
  <si>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</si>
  <si>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</si>
  <si>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</si>
  <si>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</si>
  <si>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</si>
  <si>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</si>
  <si>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</si>
  <si>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</si>
  <si>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</si>
  <si>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</si>
  <si>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</si>
  <si>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</si>
  <si>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</si>
  <si>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</si>
  <si>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</si>
  <si>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</si>
  <si>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</si>
  <si>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</si>
  <si>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</si>
  <si>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</si>
  <si>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</si>
  <si>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</si>
  <si>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</si>
  <si>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</si>
  <si>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</si>
  <si>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</si>
  <si>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</si>
  <si>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</si>
  <si>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</si>
  <si>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</si>
  <si>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</si>
  <si>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</si>
  <si>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</si>
  <si>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</si>
  <si>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</si>
  <si>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</si>
  <si>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</si>
  <si>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</si>
  <si>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</si>
  <si>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</si>
  <si>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</si>
  <si>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</si>
  <si>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</si>
  <si>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</si>
  <si>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</si>
  <si>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</si>
  <si>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</si>
  <si>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</si>
  <si>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</si>
  <si>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</si>
  <si>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</si>
  <si>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</si>
  <si>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</si>
  <si>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</si>
  <si>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</si>
  <si>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</si>
  <si>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</si>
  <si>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</si>
  <si>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</si>
  <si>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</si>
  <si>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</si>
  <si>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</si>
  <si>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</si>
  <si>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</si>
  <si>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</si>
  <si>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</si>
  <si>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</si>
  <si>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</si>
  <si>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</si>
  <si>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</si>
  <si>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</si>
  <si>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</si>
  <si>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</si>
  <si>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</si>
  <si>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</si>
  <si>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</si>
  <si>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</si>
  <si>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</si>
  <si>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</si>
  <si>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</si>
  <si>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</si>
  <si>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</si>
  <si>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</si>
  <si>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</si>
  <si>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</si>
  <si>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</si>
  <si>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</si>
  <si>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</si>
  <si>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</si>
  <si>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</si>
  <si>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</si>
  <si>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</si>
  <si>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</si>
  <si>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</si>
  <si>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</si>
  <si>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</si>
  <si>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</si>
  <si>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</si>
  <si>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</si>
  <si>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</si>
  <si>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</si>
  <si>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</si>
  <si>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</si>
  <si>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</si>
  <si>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</si>
  <si>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</si>
  <si>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</si>
  <si>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</si>
  <si>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</si>
  <si>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</si>
  <si>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</si>
  <si>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</si>
  <si>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</si>
  <si>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</si>
  <si>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</si>
  <si>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</si>
  <si>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</si>
  <si>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</si>
  <si>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</si>
  <si>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</si>
  <si>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</si>
  <si>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</si>
  <si>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</si>
  <si>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</si>
  <si>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</si>
  <si>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</si>
  <si>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</si>
  <si>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</si>
  <si>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</si>
  <si>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</si>
  <si>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</si>
  <si>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</si>
  <si>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</si>
  <si>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</si>
  <si>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</si>
  <si>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</si>
  <si>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</si>
  <si>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</si>
  <si>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</si>
  <si>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</si>
  <si>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</si>
  <si>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</si>
  <si>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</si>
  <si>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</si>
  <si>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</si>
  <si>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</si>
  <si>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</si>
  <si>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</si>
  <si>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</si>
  <si>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</si>
  <si>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</si>
  <si>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</si>
  <si>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</si>
  <si>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</si>
  <si>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</si>
  <si>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</si>
  <si>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</si>
  <si>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</si>
  <si>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</si>
  <si>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</si>
  <si>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</si>
  <si>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</si>
  <si>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</si>
  <si>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</si>
  <si>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</si>
  <si>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</si>
  <si>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</si>
  <si>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</si>
  <si>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</si>
  <si>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</si>
  <si>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</si>
  <si>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</si>
  <si>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</si>
  <si>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</si>
  <si>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</si>
  <si>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</si>
  <si>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</si>
  <si>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</si>
  <si>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</si>
  <si>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</si>
  <si>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</si>
  <si>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</si>
  <si>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</si>
  <si>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</si>
  <si>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</si>
  <si>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</si>
  <si>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</si>
  <si>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</si>
  <si>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</si>
  <si>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</si>
  <si>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</si>
  <si>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</si>
  <si>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</si>
  <si>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</si>
  <si>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</si>
  <si>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</si>
  <si>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</si>
  <si>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</si>
  <si>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</si>
  <si>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</si>
  <si>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</si>
  <si>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</si>
  <si>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</si>
  <si>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</si>
  <si>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</si>
  <si>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</si>
  <si>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</si>
  <si>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</si>
  <si>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</si>
  <si>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</si>
  <si>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</si>
  <si>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</si>
  <si>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</si>
  <si>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</si>
  <si>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</si>
  <si>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</si>
  <si>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</si>
  <si>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</si>
  <si>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</si>
  <si>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</si>
  <si>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</si>
  <si>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</si>
  <si>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</si>
  <si>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</si>
  <si>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</si>
  <si>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</si>
  <si>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</si>
  <si>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</si>
  <si>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</si>
  <si>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</si>
  <si>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</si>
  <si>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</si>
  <si>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</si>
  <si>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</si>
  <si>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</si>
  <si>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</si>
  <si>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</si>
  <si>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</si>
  <si>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</si>
  <si>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</si>
  <si>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</si>
  <si>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</si>
  <si>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</si>
  <si>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</si>
  <si>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</si>
  <si>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</si>
  <si>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</si>
  <si>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</si>
  <si>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</si>
  <si>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</si>
  <si>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</si>
  <si>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</si>
  <si>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</si>
  <si>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</si>
  <si>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</si>
  <si>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</si>
  <si>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</si>
  <si>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</si>
  <si>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</si>
  <si>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</si>
  <si>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</si>
  <si>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</si>
  <si>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</si>
  <si>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</si>
  <si>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</si>
  <si>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</si>
  <si>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</si>
  <si>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</si>
  <si>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</si>
  <si>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</si>
  <si>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</si>
  <si>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</si>
  <si>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</si>
  <si>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</si>
  <si>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</si>
  <si>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</si>
  <si>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</si>
  <si>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</si>
  <si>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</si>
  <si>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</si>
  <si>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</si>
  <si>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</si>
  <si>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</si>
  <si>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</si>
  <si>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</si>
  <si>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</si>
  <si>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</si>
  <si>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</si>
  <si>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</si>
  <si>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</si>
  <si>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</si>
  <si>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</si>
  <si>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</si>
  <si>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</si>
  <si>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</si>
  <si>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</si>
  <si>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</si>
  <si>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</si>
  <si>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</si>
  <si>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</si>
  <si>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</si>
  <si>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</si>
  <si>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</si>
  <si>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</si>
  <si>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</si>
  <si>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</si>
  <si>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</si>
  <si>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</si>
  <si>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</si>
  <si>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</si>
  <si>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</si>
  <si>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</si>
  <si>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</si>
  <si>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</si>
  <si>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</si>
  <si>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</si>
  <si>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</si>
  <si>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</si>
  <si>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</si>
  <si>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</si>
  <si>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</si>
  <si>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</si>
  <si>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</si>
  <si>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</si>
  <si>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</si>
  <si>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</si>
  <si>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</si>
  <si>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</si>
  <si>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</si>
  <si>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</si>
  <si>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</si>
  <si>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</si>
  <si>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</si>
  <si>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</si>
  <si>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</si>
  <si>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</si>
  <si>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</si>
  <si>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</si>
  <si>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</si>
  <si>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</si>
  <si>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</si>
  <si>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</si>
  <si>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</si>
  <si>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</si>
  <si>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</si>
  <si>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</si>
  <si>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</si>
  <si>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</si>
  <si>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</si>
  <si>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</si>
  <si>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</si>
  <si>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</si>
  <si>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</si>
  <si>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</si>
  <si>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</si>
  <si>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</si>
  <si>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</si>
  <si>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</si>
  <si>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</si>
  <si>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</si>
  <si>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</si>
  <si>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</si>
  <si>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</si>
  <si>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</si>
  <si>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</si>
  <si>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</si>
  <si>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</si>
  <si>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</si>
  <si>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</si>
  <si>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</si>
  <si>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</si>
  <si>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</si>
  <si>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</si>
  <si>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</si>
  <si>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</si>
  <si>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</si>
  <si>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</si>
  <si>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</si>
  <si>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</si>
  <si>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</si>
  <si>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</si>
  <si>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</si>
  <si>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</si>
  <si>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</si>
  <si>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</si>
  <si>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</si>
  <si>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</si>
  <si>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</si>
  <si>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</si>
  <si>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</si>
  <si>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</si>
  <si>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</si>
  <si>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</si>
  <si>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</si>
  <si>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</si>
  <si>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</si>
  <si>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</si>
  <si>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</si>
  <si>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</si>
  <si>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</si>
  <si>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</si>
  <si>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</si>
  <si>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</si>
  <si>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</si>
  <si>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</si>
  <si>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</si>
  <si>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</si>
  <si>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</si>
  <si>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</si>
  <si>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</si>
  <si>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</si>
  <si>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</si>
  <si>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</si>
  <si>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</si>
  <si>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</si>
  <si>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</si>
  <si>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</si>
  <si>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</si>
  <si>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</si>
  <si>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</si>
  <si>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</si>
  <si>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</si>
  <si>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</si>
  <si>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</si>
  <si>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</si>
  <si>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</si>
  <si>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</si>
  <si>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</si>
  <si>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</si>
  <si>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</si>
  <si>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</si>
  <si>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</si>
  <si>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</si>
  <si>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</si>
  <si>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</si>
  <si>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</si>
  <si>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</si>
  <si>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</si>
  <si>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</si>
  <si>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</si>
  <si>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</si>
  <si>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</si>
  <si>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</si>
  <si>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</si>
  <si>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</si>
  <si>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</si>
  <si>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</si>
  <si>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</si>
  <si>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</si>
  <si>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</si>
  <si>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</si>
  <si>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</si>
  <si>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</si>
  <si>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</si>
  <si>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</si>
  <si>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</si>
  <si>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</si>
  <si>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</si>
  <si>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</si>
  <si>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</si>
  <si>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</si>
  <si>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</si>
  <si>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</si>
  <si>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</si>
  <si>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</si>
  <si>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</si>
  <si>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</si>
  <si>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</si>
  <si>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</si>
  <si>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</si>
  <si>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</si>
  <si>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</si>
  <si>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</si>
  <si>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</si>
  <si>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</si>
  <si>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</si>
  <si>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</si>
  <si>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</si>
  <si>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</si>
  <si>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</si>
  <si>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</si>
  <si>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</si>
  <si>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</si>
  <si>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</si>
  <si>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</si>
  <si>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</si>
  <si>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</si>
  <si>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</si>
  <si>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</si>
  <si>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</si>
  <si>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</si>
  <si>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</si>
  <si>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</si>
  <si>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</si>
  <si>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</si>
  <si>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</si>
  <si>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</si>
  <si>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</si>
  <si>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</si>
  <si>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</si>
  <si>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</si>
  <si>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</si>
  <si>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</si>
  <si>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</si>
  <si>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</si>
  <si>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</si>
  <si>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</si>
  <si>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</si>
  <si>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</si>
  <si>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</si>
  <si>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</si>
  <si>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</si>
  <si>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</si>
  <si>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</si>
  <si>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</si>
  <si>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</si>
  <si>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</si>
  <si>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</si>
  <si>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</si>
  <si>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</si>
  <si>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</si>
  <si>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</si>
  <si>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</si>
  <si>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</si>
  <si>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</si>
  <si>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</si>
  <si>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</si>
  <si>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</si>
  <si>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</si>
  <si>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</si>
  <si>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</si>
  <si>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</si>
  <si>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</si>
  <si>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</si>
  <si>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</si>
  <si>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</si>
  <si>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</si>
  <si>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</si>
  <si>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</si>
  <si>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</si>
  <si>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</si>
  <si>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</si>
  <si>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</si>
  <si>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</si>
  <si>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</si>
  <si>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</si>
  <si>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</si>
  <si>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</si>
  <si>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</si>
  <si>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</si>
  <si>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</si>
  <si>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</si>
  <si>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</si>
  <si>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</si>
  <si>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</si>
  <si>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</si>
  <si>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</si>
  <si>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</si>
  <si>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</si>
  <si>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</si>
  <si>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</si>
  <si>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</si>
  <si>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</si>
  <si>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</si>
  <si>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</si>
  <si>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</si>
  <si>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</si>
  <si>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</si>
  <si>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</si>
  <si>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</si>
  <si>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</si>
  <si>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</si>
  <si>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</si>
  <si>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</si>
  <si>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</si>
  <si>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</si>
  <si>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</si>
  <si>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</si>
  <si>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</si>
  <si>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</si>
  <si>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</si>
  <si>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</si>
  <si>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</si>
  <si>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</si>
  <si>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</si>
  <si>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</si>
  <si>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</si>
  <si>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</si>
  <si>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</si>
  <si>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</si>
  <si>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</si>
  <si>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</si>
  <si>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</si>
  <si>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</si>
  <si>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</si>
  <si>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</si>
  <si>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</si>
  <si>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</si>
  <si>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</si>
  <si>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</si>
  <si>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</si>
  <si>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</si>
  <si>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</si>
  <si>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</si>
  <si>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</si>
  <si>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</si>
  <si>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</si>
  <si>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</si>
  <si>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</si>
  <si>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</si>
  <si>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</si>
  <si>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</si>
  <si>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</si>
  <si>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</si>
  <si>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</si>
  <si>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</si>
  <si>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</si>
  <si>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</si>
  <si>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</si>
  <si>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</si>
  <si>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</si>
  <si>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</si>
  <si>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</si>
  <si>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</si>
  <si>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</si>
  <si>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</si>
  <si>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</si>
  <si>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</si>
  <si>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</si>
  <si>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</si>
  <si>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</si>
  <si>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</si>
  <si>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</si>
  <si>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</si>
  <si>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</si>
  <si>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</si>
  <si>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</si>
  <si>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</si>
  <si>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</si>
  <si>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Изменен тариф на тепловую энергию  в периоде действия  01.10.2026 - 31.12.2026 размер составил 2950,68 руб (без НДС)</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</si>
  <si>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</si>
  <si>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</si>
  <si>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</si>
  <si>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</si>
  <si>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</si>
  <si>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</si>
  <si>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</si>
  <si>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</si>
  <si>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</si>
  <si>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</si>
  <si>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</si>
  <si>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</si>
  <si>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</si>
  <si>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</si>
  <si>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</si>
  <si>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</si>
  <si>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</si>
  <si>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</si>
  <si>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</si>
  <si>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</si>
  <si>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</si>
  <si>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</si>
  <si>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</si>
  <si>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</si>
  <si>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</si>
  <si>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</si>
  <si>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</si>
  <si>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</si>
  <si>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</si>
  <si>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</si>
  <si>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</si>
  <si>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</si>
  <si>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</si>
  <si>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</si>
  <si>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</si>
  <si>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</si>
  <si>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</si>
  <si>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</si>
  <si>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</si>
  <si>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</si>
  <si>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</si>
  <si>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</si>
  <si>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</si>
  <si>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</si>
  <si>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</si>
  <si>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</si>
  <si>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</si>
  <si>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</si>
  <si>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</si>
  <si>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</si>
  <si>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</si>
  <si>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</si>
  <si>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</si>
  <si>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</si>
  <si>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</si>
  <si>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</si>
  <si>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</si>
  <si>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</si>
  <si>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</si>
  <si>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</si>
  <si>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</si>
  <si>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</si>
  <si>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</si>
  <si>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</si>
  <si>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</si>
  <si>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</si>
  <si>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</si>
  <si>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</si>
  <si>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</si>
  <si>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</si>
  <si>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</si>
  <si>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</si>
  <si>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</si>
  <si>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</si>
  <si>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</si>
  <si>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</si>
  <si>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</si>
  <si>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</si>
  <si>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</si>
  <si>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</si>
  <si>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</si>
  <si>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</si>
  <si>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</si>
  <si>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</si>
  <si>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</si>
  <si>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</si>
  <si>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</si>
  <si>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</si>
  <si>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</si>
  <si>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</si>
  <si>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</si>
  <si>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</si>
  <si>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</si>
  <si>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</si>
  <si>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</si>
  <si>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</si>
  <si>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</si>
  <si>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</si>
  <si>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</si>
  <si>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</si>
  <si>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</si>
  <si>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</si>
  <si>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</si>
  <si>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</si>
  <si>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</si>
  <si>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</si>
  <si>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</si>
  <si>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</si>
  <si>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</si>
  <si>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</si>
  <si>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</si>
  <si>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</si>
  <si>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</si>
  <si>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</si>
  <si>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</si>
  <si>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</si>
  <si>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</si>
  <si>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</si>
  <si>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</si>
  <si>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</si>
  <si>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</si>
  <si>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</si>
  <si>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</si>
  <si>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</si>
  <si>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</si>
  <si>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</si>
  <si>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</si>
  <si>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</si>
  <si>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</si>
  <si>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</si>
  <si>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</si>
  <si>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</si>
  <si>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</si>
  <si>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</si>
  <si>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</si>
  <si>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</si>
  <si>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</si>
  <si>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</si>
  <si>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</si>
  <si>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</si>
  <si>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</si>
  <si>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</si>
  <si>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</si>
  <si>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</si>
  <si>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</si>
  <si>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</si>
  <si>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</si>
  <si>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</si>
  <si>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</si>
  <si>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</si>
  <si>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</si>
  <si>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</si>
  <si>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</si>
  <si>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</si>
  <si>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</si>
  <si>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</si>
  <si>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</si>
  <si>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</si>
  <si>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</si>
  <si>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</si>
  <si>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</si>
  <si>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</si>
  <si>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</si>
  <si>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</si>
  <si>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</si>
  <si>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</si>
  <si>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</si>
  <si>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</si>
  <si>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</si>
  <si>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</si>
  <si>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</si>
  <si>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</si>
  <si>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</si>
  <si>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</si>
  <si>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</si>
  <si>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</si>
  <si>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</si>
  <si>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</si>
  <si>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</si>
  <si>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</si>
  <si>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</si>
  <si>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</si>
  <si>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</si>
  <si>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</si>
  <si>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</si>
  <si>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</si>
  <si>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</si>
  <si>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</si>
  <si>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</si>
  <si>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</si>
  <si>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</si>
  <si>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</si>
  <si>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</si>
  <si>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</si>
  <si>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</si>
  <si>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</si>
  <si>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</si>
  <si>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</si>
  <si>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</si>
  <si>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</si>
  <si>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</si>
  <si>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</si>
  <si>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</si>
  <si>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</si>
  <si>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</si>
  <si>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</si>
  <si>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</si>
  <si>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</si>
  <si>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</si>
  <si>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</si>
  <si>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</si>
  <si>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</si>
  <si>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</si>
  <si>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</si>
  <si>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</si>
  <si>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</si>
  <si>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</si>
  <si>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</si>
  <si>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</si>
  <si>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</si>
  <si>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</si>
  <si>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</si>
  <si>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</si>
  <si>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</si>
  <si>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</si>
  <si>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</si>
  <si>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</si>
  <si>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</si>
  <si>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</si>
  <si>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</si>
  <si>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</si>
  <si>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</si>
  <si>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</si>
  <si>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</si>
  <si>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</si>
  <si>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</si>
  <si>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</si>
  <si>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</si>
  <si>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</si>
  <si>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</si>
  <si>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</si>
  <si>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</si>
  <si>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</si>
  <si>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</si>
  <si>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</si>
  <si>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</si>
  <si>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</si>
  <si>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</si>
  <si>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</si>
  <si>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</si>
  <si>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</si>
  <si>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</si>
  <si>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</si>
  <si>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</si>
  <si>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</si>
  <si>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</si>
  <si>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</si>
  <si>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</si>
  <si>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</si>
  <si>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</si>
  <si>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</si>
  <si>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</si>
  <si>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</si>
  <si>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</si>
  <si>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</si>
  <si>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</si>
  <si>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</si>
  <si>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</si>
  <si>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</si>
  <si>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</si>
  <si>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</si>
  <si>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</si>
  <si>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</si>
  <si>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</si>
  <si>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</si>
  <si>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</si>
  <si>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</si>
  <si>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</si>
  <si>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</si>
  <si>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</si>
  <si>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</si>
  <si>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</si>
  <si>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</si>
  <si>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</si>
  <si>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</si>
  <si>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</si>
  <si>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</si>
  <si>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</si>
  <si>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</si>
  <si>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</si>
  <si>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</si>
  <si>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</si>
  <si>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</si>
  <si>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</si>
  <si>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</si>
  <si>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</si>
  <si>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</si>
  <si>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</si>
  <si>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</si>
  <si>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</si>
  <si>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</si>
  <si>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</si>
  <si>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</si>
  <si>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</si>
  <si>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</si>
  <si>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</si>
  <si>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</si>
  <si>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</si>
  <si>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</si>
  <si>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</si>
  <si>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</si>
  <si>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</si>
  <si>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</si>
  <si>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</si>
  <si>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</si>
  <si>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</si>
  <si>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</si>
  <si>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</si>
  <si>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</si>
  <si>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</si>
  <si>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</si>
  <si>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</si>
  <si>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</si>
  <si>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</si>
  <si>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</si>
  <si>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</si>
  <si>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</si>
  <si>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</si>
  <si>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</si>
  <si>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</si>
  <si>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</si>
  <si>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</si>
  <si>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</si>
  <si>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</si>
  <si>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</si>
  <si>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</si>
  <si>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</si>
  <si>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</si>
  <si>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</si>
  <si>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</si>
  <si>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</si>
  <si>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</si>
  <si>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</si>
  <si>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</si>
  <si>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</si>
  <si>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</si>
  <si>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</si>
  <si>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</si>
  <si>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</si>
  <si>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2594</t>
  </si>
  <si>
    <t>31526383</t>
  </si>
  <si>
    <t>"Теткинское МУП ЖКХ"</t>
  </si>
  <si>
    <t>4603009064</t>
  </si>
  <si>
    <t>460301001</t>
  </si>
  <si>
    <t>31457162</t>
  </si>
  <si>
    <t>АО "ГАЗСПЕЦРЕСУРС"</t>
  </si>
  <si>
    <t>4611016308</t>
  </si>
  <si>
    <t>461101001</t>
  </si>
  <si>
    <t>17-11-2020 00:00:00</t>
  </si>
  <si>
    <t>30876295</t>
  </si>
  <si>
    <t>АО "ККХП"</t>
  </si>
  <si>
    <t>4630001280</t>
  </si>
  <si>
    <t>12-01-2017 00:00:00</t>
  </si>
  <si>
    <t>26506537</t>
  </si>
  <si>
    <t>АО "Концерн Росэнергоатом" (филиал "Курская атомная станция")</t>
  </si>
  <si>
    <t>7721632827</t>
  </si>
  <si>
    <t>463443001</t>
  </si>
  <si>
    <t>31226876</t>
  </si>
  <si>
    <t>АО "Курская строительная компания "Новый курс"</t>
  </si>
  <si>
    <t>4629043694</t>
  </si>
  <si>
    <t>02-08-2018 00:00:00</t>
  </si>
  <si>
    <t>31412878</t>
  </si>
  <si>
    <t>АО "Михайловский ГОК  им. А.В. Варичева"</t>
  </si>
  <si>
    <t>4633001577</t>
  </si>
  <si>
    <t>997550001</t>
  </si>
  <si>
    <t>20-03-2020 00:00:00</t>
  </si>
  <si>
    <t>26526453</t>
  </si>
  <si>
    <t>АО "РИР Энерго" (филиал АО "РИР Энерго" - "Белгородская генерация")</t>
  </si>
  <si>
    <t>6829012680</t>
  </si>
  <si>
    <t>312343001</t>
  </si>
  <si>
    <t>26838066</t>
  </si>
  <si>
    <t>АО "РЭУ"</t>
  </si>
  <si>
    <t>7714783092</t>
  </si>
  <si>
    <t>770401001</t>
  </si>
  <si>
    <t>26357430</t>
  </si>
  <si>
    <t>АО "Сахарный комбинат Льговский"</t>
  </si>
  <si>
    <t>4613005502</t>
  </si>
  <si>
    <t>461301001</t>
  </si>
  <si>
    <t>28160056</t>
  </si>
  <si>
    <t>АО "ТЭСК"</t>
  </si>
  <si>
    <t>4632121159</t>
  </si>
  <si>
    <t>31424123</t>
  </si>
  <si>
    <t>АО "ЭЛЕКТРОАГРЕГАТ"</t>
  </si>
  <si>
    <t>4631005223</t>
  </si>
  <si>
    <t>27653101</t>
  </si>
  <si>
    <t>АУ КО "Редакция газеты "Беловские Зори"</t>
  </si>
  <si>
    <t>4601003540</t>
  </si>
  <si>
    <t>460101001</t>
  </si>
  <si>
    <t>22-04-2025 00:00:00</t>
  </si>
  <si>
    <t>26521231</t>
  </si>
  <si>
    <t>Белгородский территориальный участок Юго-Восточной дирекции по тепловодоснабжению - структурного подразделения Центральной дирекции по тепловодоснабжению - филиала ОАО "РЖД"</t>
  </si>
  <si>
    <t>7708503727</t>
  </si>
  <si>
    <t>312345029</t>
  </si>
  <si>
    <t>26520355</t>
  </si>
  <si>
    <t>Брянский территориальный участок Московской дирекции по тепловодоснабжению – структурного подразделения Центральной дирекции по тепловодоснабжению – филиала ОАО «РЖД»</t>
  </si>
  <si>
    <t>463201002</t>
  </si>
  <si>
    <t>26373212</t>
  </si>
  <si>
    <t>ГУПКО "Курскоблжилкомхоз"</t>
  </si>
  <si>
    <t>4632024035</t>
  </si>
  <si>
    <t>31651696</t>
  </si>
  <si>
    <t>ИП Рустем Мансур Исмаилович</t>
  </si>
  <si>
    <t>461109152080</t>
  </si>
  <si>
    <t>30941921</t>
  </si>
  <si>
    <t>Курский завод "Маяк" - филиал АО "Нижегородское научно-производственное объединение имени М.В.Фрунзе"</t>
  </si>
  <si>
    <t>5261077695</t>
  </si>
  <si>
    <t>463243001</t>
  </si>
  <si>
    <t>12-07-2017 00:00:00</t>
  </si>
  <si>
    <t>МИНИСТЕРСТВО ПО ТАРИФАМ И ЦЕНАМ КУРСКОЙ ОБЛАСТИ</t>
  </si>
  <si>
    <t>4632053780</t>
  </si>
  <si>
    <t>30843089</t>
  </si>
  <si>
    <t>МКУ "Управление обеспечения деятельности органов местного самоуправления"</t>
  </si>
  <si>
    <t>4622005001</t>
  </si>
  <si>
    <t>462201001</t>
  </si>
  <si>
    <t>01-10-2016 00:00:00</t>
  </si>
  <si>
    <t>31699224</t>
  </si>
  <si>
    <t>МКУ «ОДА поселка Кшенский»</t>
  </si>
  <si>
    <t>4621009155</t>
  </si>
  <si>
    <t>462101001</t>
  </si>
  <si>
    <t>01-02-2023 00:00:00</t>
  </si>
  <si>
    <t>31334806</t>
  </si>
  <si>
    <t>МУП "Глушковское ЖКХ"</t>
  </si>
  <si>
    <t>4603004186</t>
  </si>
  <si>
    <t>31-07-2019 00:00:00</t>
  </si>
  <si>
    <t>26357464</t>
  </si>
  <si>
    <t>МУП "Городские тепловые сети" МО  "город Курчатов"</t>
  </si>
  <si>
    <t>4634002573</t>
  </si>
  <si>
    <t>463401001</t>
  </si>
  <si>
    <t>26357452</t>
  </si>
  <si>
    <t>МУП "Гортеплосеть"</t>
  </si>
  <si>
    <t>4632000330</t>
  </si>
  <si>
    <t>26357458</t>
  </si>
  <si>
    <t>МУП "Гортеплосеть" города Железногорска</t>
  </si>
  <si>
    <t>4633002394</t>
  </si>
  <si>
    <t>463301001</t>
  </si>
  <si>
    <t>26373218</t>
  </si>
  <si>
    <t>МУП "Иванинское ЖКХ"</t>
  </si>
  <si>
    <t>4634008455</t>
  </si>
  <si>
    <t>28829517</t>
  </si>
  <si>
    <t>МУП "Кшенское" поселка Кшенский</t>
  </si>
  <si>
    <t>4621009099</t>
  </si>
  <si>
    <t>28967472</t>
  </si>
  <si>
    <t>МУП "Районное коммунальное хозяйство"</t>
  </si>
  <si>
    <t>4633037132</t>
  </si>
  <si>
    <t>31625749</t>
  </si>
  <si>
    <t>МУП "Теплосервис"</t>
  </si>
  <si>
    <t>4626006422</t>
  </si>
  <si>
    <t>462601001</t>
  </si>
  <si>
    <t>01-08-2022 00:00:00</t>
  </si>
  <si>
    <t>31461777</t>
  </si>
  <si>
    <t>МУП "Теплосеть"</t>
  </si>
  <si>
    <t>4610006900</t>
  </si>
  <si>
    <t>461001001</t>
  </si>
  <si>
    <t>15-05-2008 00:00:00</t>
  </si>
  <si>
    <t>31521250</t>
  </si>
  <si>
    <t>МУП "Хомутовское ЖКХ"</t>
  </si>
  <si>
    <t>4626006380</t>
  </si>
  <si>
    <t>19-10-2021 00:00:00</t>
  </si>
  <si>
    <t>28975327</t>
  </si>
  <si>
    <t>МУП ЖКХ "Родник"</t>
  </si>
  <si>
    <t>4611013586</t>
  </si>
  <si>
    <t>26357443</t>
  </si>
  <si>
    <t>МУП КЭТС г.Суджа</t>
  </si>
  <si>
    <t>4623002116</t>
  </si>
  <si>
    <t>462301001</t>
  </si>
  <si>
    <t>26357449</t>
  </si>
  <si>
    <t>ОАО "Геомаш" города Щигры</t>
  </si>
  <si>
    <t>4628000962</t>
  </si>
  <si>
    <t>462801001</t>
  </si>
  <si>
    <t>26319324</t>
  </si>
  <si>
    <t>ОАО "Курскрезинотехника"</t>
  </si>
  <si>
    <t>4632001454</t>
  </si>
  <si>
    <t>463250001</t>
  </si>
  <si>
    <t>26597746</t>
  </si>
  <si>
    <t>ОАО "Технотекс"</t>
  </si>
  <si>
    <t>4631000955</t>
  </si>
  <si>
    <t>28153332</t>
  </si>
  <si>
    <t>ОАО "Электроагрегат"</t>
  </si>
  <si>
    <t>28008001</t>
  </si>
  <si>
    <t>ООО  "Афродита"</t>
  </si>
  <si>
    <t>4633023436</t>
  </si>
  <si>
    <t>30958906</t>
  </si>
  <si>
    <t>ООО "АГРУПП"</t>
  </si>
  <si>
    <t>4603001234</t>
  </si>
  <si>
    <t>31206294</t>
  </si>
  <si>
    <t>ООО "Агропроект"</t>
  </si>
  <si>
    <t>3666120176</t>
  </si>
  <si>
    <t>366601001</t>
  </si>
  <si>
    <t>10-10-2018 00:00:00</t>
  </si>
  <si>
    <t>31157877</t>
  </si>
  <si>
    <t>ООО "ВодоСервис"</t>
  </si>
  <si>
    <t>4633039637</t>
  </si>
  <si>
    <t>463330100</t>
  </si>
  <si>
    <t>26357459</t>
  </si>
  <si>
    <t>ООО "ГОТЭК-ЦПУ"</t>
  </si>
  <si>
    <t>4633016372</t>
  </si>
  <si>
    <t>26599373</t>
  </si>
  <si>
    <t>ООО "ЖКХ с. Мантурово"</t>
  </si>
  <si>
    <t>4614004050</t>
  </si>
  <si>
    <t>461401001</t>
  </si>
  <si>
    <t>28080260</t>
  </si>
  <si>
    <t>ООО "Железногорская МСО"</t>
  </si>
  <si>
    <t>4633011913</t>
  </si>
  <si>
    <t>30918958</t>
  </si>
  <si>
    <t>ООО "Жилсервис ЗЖБИ-3"</t>
  </si>
  <si>
    <t>4633039010</t>
  </si>
  <si>
    <t>05-04-2017 00:00:00</t>
  </si>
  <si>
    <t>26357446</t>
  </si>
  <si>
    <t>ООО "КТС с. Калиновка"</t>
  </si>
  <si>
    <t>4626003929</t>
  </si>
  <si>
    <t>09-09-2024 00:00:00</t>
  </si>
  <si>
    <t>27159575</t>
  </si>
  <si>
    <t>ООО "Коммунальная служба + " С. Михайловка</t>
  </si>
  <si>
    <t>4633033219</t>
  </si>
  <si>
    <t>26357432</t>
  </si>
  <si>
    <t>ООО "Коммунальщик" п. Прямицино</t>
  </si>
  <si>
    <t>4617004147</t>
  </si>
  <si>
    <t>461701001</t>
  </si>
  <si>
    <t>27549510</t>
  </si>
  <si>
    <t>ООО "Комфорт" г. Железногорск</t>
  </si>
  <si>
    <t>4633022993</t>
  </si>
  <si>
    <t>31477115</t>
  </si>
  <si>
    <t>ООО "Круиз - М"</t>
  </si>
  <si>
    <t>5034043900</t>
  </si>
  <si>
    <t>503401001</t>
  </si>
  <si>
    <t>17-04-2012 00:00:00</t>
  </si>
  <si>
    <t>26357454</t>
  </si>
  <si>
    <t>ООО "Курские Внешние Коммунальные сети"</t>
  </si>
  <si>
    <t>4632033706</t>
  </si>
  <si>
    <t>30852158</t>
  </si>
  <si>
    <t>ООО "Курскоблтеплосеть"</t>
  </si>
  <si>
    <t>4632185184</t>
  </si>
  <si>
    <t>26519453</t>
  </si>
  <si>
    <t>ООО "Обоянские Коммунальные Тепловые Сети"</t>
  </si>
  <si>
    <t>4616008283</t>
  </si>
  <si>
    <t>461601001</t>
  </si>
  <si>
    <t>31209848</t>
  </si>
  <si>
    <t>ООО "ПРОМ-ЭНЕРГО-СЕРВИС"</t>
  </si>
  <si>
    <t>4620014875</t>
  </si>
  <si>
    <t>462001001</t>
  </si>
  <si>
    <t>23-10-2018 00:00:00</t>
  </si>
  <si>
    <t>31326254</t>
  </si>
  <si>
    <t>ООО "СБМ"</t>
  </si>
  <si>
    <t>4632113278</t>
  </si>
  <si>
    <t>26-10-2009 00:00:00</t>
  </si>
  <si>
    <t>28262863</t>
  </si>
  <si>
    <t>ООО "Санаторий "Моква"</t>
  </si>
  <si>
    <t>4611004126</t>
  </si>
  <si>
    <t>31713408</t>
  </si>
  <si>
    <t>ООО "Санаторий имени И.Д.Черняховского"</t>
  </si>
  <si>
    <t>4611003813</t>
  </si>
  <si>
    <t>18-10-2007 00:00:00</t>
  </si>
  <si>
    <t>26357417</t>
  </si>
  <si>
    <t>ООО "Свободинский электромеханический завод"</t>
  </si>
  <si>
    <t>4607000231</t>
  </si>
  <si>
    <t>460701001</t>
  </si>
  <si>
    <t>30949176</t>
  </si>
  <si>
    <t>ООО "Сети МС"</t>
  </si>
  <si>
    <t>4607006392</t>
  </si>
  <si>
    <t>05-12-2016 00:00:00</t>
  </si>
  <si>
    <t>03-03-2025 00:00:00</t>
  </si>
  <si>
    <t>26373203</t>
  </si>
  <si>
    <t>ООО "Солнцевское ЖКХ"</t>
  </si>
  <si>
    <t>4622004495</t>
  </si>
  <si>
    <t>26357456</t>
  </si>
  <si>
    <t>ООО "Теплогенерирующая компания"</t>
  </si>
  <si>
    <t>4632068226</t>
  </si>
  <si>
    <t>26806402</t>
  </si>
  <si>
    <t>ООО "Теткинское МУП ЖКХ"</t>
  </si>
  <si>
    <t>4603005599</t>
  </si>
  <si>
    <t>26373188</t>
  </si>
  <si>
    <t>ООО "УниверсалСтройСервис"</t>
  </si>
  <si>
    <t>4619004209</t>
  </si>
  <si>
    <t>461901001</t>
  </si>
  <si>
    <t>26357444</t>
  </si>
  <si>
    <t>ООО "Фатежские КЭТС"</t>
  </si>
  <si>
    <t>4625004944</t>
  </si>
  <si>
    <t>462501001</t>
  </si>
  <si>
    <t>28037290</t>
  </si>
  <si>
    <t>ООО "ЭКАС-строймонтаж"</t>
  </si>
  <si>
    <t>4632064101</t>
  </si>
  <si>
    <t>30833091</t>
  </si>
  <si>
    <t>ООО "Энергосервисная компания ЖБК-1"</t>
  </si>
  <si>
    <t>3123389689</t>
  </si>
  <si>
    <t>312301001</t>
  </si>
  <si>
    <t>27845262</t>
  </si>
  <si>
    <t>ООО "Южная генерирующая компания"</t>
  </si>
  <si>
    <t>4632077904</t>
  </si>
  <si>
    <t>25-01-2024 00:00:00</t>
  </si>
  <si>
    <t>26520836</t>
  </si>
  <si>
    <t>ООО «НИАГАРА+»</t>
  </si>
  <si>
    <t>4607005286</t>
  </si>
  <si>
    <t>26520846</t>
  </si>
  <si>
    <t>ООО «Стройсантехналадка»</t>
  </si>
  <si>
    <t>4632064013</t>
  </si>
  <si>
    <t>27549574</t>
  </si>
  <si>
    <t>ООО Управляющая компания "Айсберг +"</t>
  </si>
  <si>
    <t>4608005722</t>
  </si>
  <si>
    <t>460801001</t>
  </si>
  <si>
    <t>26357433</t>
  </si>
  <si>
    <t>ООО"Теплосети п.Поныри"</t>
  </si>
  <si>
    <t>4618003724</t>
  </si>
  <si>
    <t>461801001</t>
  </si>
  <si>
    <t>30366049</t>
  </si>
  <si>
    <t>ОП "Воронежское" АО "ГУ ЖКХ"</t>
  </si>
  <si>
    <t>5116000922</t>
  </si>
  <si>
    <t>366445001</t>
  </si>
  <si>
    <t>21-10-2015 00:00:00</t>
  </si>
  <si>
    <t>28084551</t>
  </si>
  <si>
    <t>ПАО "Квадра" (филиал "Южная генерация")</t>
  </si>
  <si>
    <t>463201000</t>
  </si>
  <si>
    <t>26357457</t>
  </si>
  <si>
    <t>ПАО "Михайловский ГОК"</t>
  </si>
  <si>
    <t>26519455</t>
  </si>
  <si>
    <t>Рыльский авиационный технический колледж - филиал ФГОУВПО "Московский государственный технический университет гражданской авиации "</t>
  </si>
  <si>
    <t>7712029250</t>
  </si>
  <si>
    <t>26373189</t>
  </si>
  <si>
    <t>ФГБУ "Санаторий Марьино"</t>
  </si>
  <si>
    <t>4620001192</t>
  </si>
  <si>
    <t>31044258</t>
  </si>
  <si>
    <t>Филиал ОАО "РЖД" Юго-Восточная железная дорога, Юго-Восточная дирекция по эксплуатации зданий и сооружений ЕЛЕЦКАЯ ДИСТАЦИЯ ГРАЖДАНСКИХ СООРУЖЕНИЙ</t>
  </si>
  <si>
    <t>481245040</t>
  </si>
  <si>
    <t>27135237</t>
  </si>
  <si>
    <t>Филиал ОАО "РЭУ" "Курский"</t>
  </si>
  <si>
    <t>30941480</t>
  </si>
  <si>
    <t>Филиал ФГБУ "ЦЖКУ" Минобороны России (по МВО)</t>
  </si>
  <si>
    <t>7729314745</t>
  </si>
  <si>
    <t>503243002</t>
  </si>
  <si>
    <t>26519767</t>
  </si>
  <si>
    <t>филиал АО "РИР Энерго"- "Курская генерация"</t>
  </si>
  <si>
    <t>26821504</t>
  </si>
  <si>
    <t>Воронежский территориальный участок Юго-Восточной дирекции по тепловодоснабжению - структурное подразделение Центральной дирекции по тепловодоснабжению - филиала ОАО "РЖД"</t>
  </si>
  <si>
    <t>366145016</t>
  </si>
  <si>
    <t>09-12-2011 00:00:00</t>
  </si>
  <si>
    <t>31386954</t>
  </si>
  <si>
    <t>АДМИНИСТРАЦИЯ БЕРЕЗНИКОВСКОГО СЕЛЬСОВЕТА РЫЛЬСКОГО РАЙОНА</t>
  </si>
  <si>
    <t>4620001121</t>
  </si>
  <si>
    <t>31388059</t>
  </si>
  <si>
    <t>АДМИНИСТРАЦИЯ ПОСЕЛКА ПРИСТЕНЬ ПРИСТЕНСКОГО РАЙОНА КУРСКОЙ ОБЛАСТИ</t>
  </si>
  <si>
    <t>4619000860</t>
  </si>
  <si>
    <t>31280789</t>
  </si>
  <si>
    <t>АНО " Водоснабжение с. 1- Засеймье"</t>
  </si>
  <si>
    <t>4614003681</t>
  </si>
  <si>
    <t>01-01-2019 00:00:00</t>
  </si>
  <si>
    <t>23-09-2024 00:00:00</t>
  </si>
  <si>
    <t>26546500</t>
  </si>
  <si>
    <t>АНО "Водоснабжение Бычковского сельсовета"</t>
  </si>
  <si>
    <t>4608005874</t>
  </si>
  <si>
    <t>26546504</t>
  </si>
  <si>
    <t>АНО "Водоснабжение Верхнеграйворонского сельсовета"</t>
  </si>
  <si>
    <t>4608005970</t>
  </si>
  <si>
    <t>12-01-2024 00:00:00</t>
  </si>
  <si>
    <t>26373185</t>
  </si>
  <si>
    <t>АНО "Водоснабжение Зоринского сельсовета"</t>
  </si>
  <si>
    <t>4616007201</t>
  </si>
  <si>
    <t>461601005</t>
  </si>
  <si>
    <t>10-06-2025 00:00:00</t>
  </si>
  <si>
    <t>26546518</t>
  </si>
  <si>
    <t>АНО "Водоснабжение Краснознаменского сельсовета "</t>
  </si>
  <si>
    <t>4608005867</t>
  </si>
  <si>
    <t>27159726</t>
  </si>
  <si>
    <t>АНО "Водоснабжение Уланковского сельсовета"</t>
  </si>
  <si>
    <t>4623007153</t>
  </si>
  <si>
    <t>10-03-2025 00:00:00</t>
  </si>
  <si>
    <t>30838874</t>
  </si>
  <si>
    <t>АНО "Водоснабжение с. 2-е Выгорное"</t>
  </si>
  <si>
    <t>4624902335</t>
  </si>
  <si>
    <t>462401001</t>
  </si>
  <si>
    <t>27784441</t>
  </si>
  <si>
    <t>АНО "Водоснабжение с. Марица"</t>
  </si>
  <si>
    <t>4613996035</t>
  </si>
  <si>
    <t>04-05-2012 00:00:00</t>
  </si>
  <si>
    <t>26546532</t>
  </si>
  <si>
    <t>АНО "Водоснабжение с. Орехово"</t>
  </si>
  <si>
    <t>4608005810</t>
  </si>
  <si>
    <t>26599751</t>
  </si>
  <si>
    <t>АНО "Водоснабжение с. Усланка"</t>
  </si>
  <si>
    <t>4616007508</t>
  </si>
  <si>
    <t>24-01-2024 00:00:00</t>
  </si>
  <si>
    <t>31603544</t>
  </si>
  <si>
    <t>АНО по обеспечению водой "АКВА"</t>
  </si>
  <si>
    <t>4632284347</t>
  </si>
  <si>
    <t>27-08-2021 00:00:00</t>
  </si>
  <si>
    <t>28068074</t>
  </si>
  <si>
    <t>АО "Курскоблводоканал"</t>
  </si>
  <si>
    <t>4632165780</t>
  </si>
  <si>
    <t>26598017</t>
  </si>
  <si>
    <t>АО "Суджанский маслодельный комбинат"</t>
  </si>
  <si>
    <t>4623000045</t>
  </si>
  <si>
    <t>31520452</t>
  </si>
  <si>
    <t>Администрация  Андросовского сельсовета</t>
  </si>
  <si>
    <t>4606001000</t>
  </si>
  <si>
    <t>31416151</t>
  </si>
  <si>
    <t>Администрация 1-го Поныровского сельсовета Поныровского района</t>
  </si>
  <si>
    <t>4618001043</t>
  </si>
  <si>
    <t>31088695</t>
  </si>
  <si>
    <t>Администрация Дмитриевского сельсовета Золотухинского района Курской области</t>
  </si>
  <si>
    <t>4607000418</t>
  </si>
  <si>
    <t>31088641</t>
  </si>
  <si>
    <t>Администрация Званновского сельсовета Глушковского района Курской области</t>
  </si>
  <si>
    <t>4603000488</t>
  </si>
  <si>
    <t>31088657</t>
  </si>
  <si>
    <t>Администрация Карыжского сельсовета Глушковского района Курской области</t>
  </si>
  <si>
    <t>4603000696</t>
  </si>
  <si>
    <t>31088670</t>
  </si>
  <si>
    <t>Администрация Коровяковского сельсовета Глушковского района Курской области</t>
  </si>
  <si>
    <t>4603000632</t>
  </si>
  <si>
    <t>31258569</t>
  </si>
  <si>
    <t>Администрация Мантуровского района Курской области</t>
  </si>
  <si>
    <t>4614003378</t>
  </si>
  <si>
    <t>31088676</t>
  </si>
  <si>
    <t>Администрация Марковского сельсовета Глушковского района Курской области</t>
  </si>
  <si>
    <t>4603000505</t>
  </si>
  <si>
    <t>31256167</t>
  </si>
  <si>
    <t>Администрация Махновского сельсовета Суджанского района Курской области</t>
  </si>
  <si>
    <t>4623001514</t>
  </si>
  <si>
    <t>31088683</t>
  </si>
  <si>
    <t>Администрация Нижнемордокского сельсовета Глушковского района Курской области</t>
  </si>
  <si>
    <t>4603000590</t>
  </si>
  <si>
    <t>31088715</t>
  </si>
  <si>
    <t>Администрация Первоавгустовского сельсовета Дмитриевского района Курской области</t>
  </si>
  <si>
    <t>4605001889</t>
  </si>
  <si>
    <t>460501001</t>
  </si>
  <si>
    <t>31088707</t>
  </si>
  <si>
    <t>Администрация Пригородненского сельсовета Щигровского района Куркой области</t>
  </si>
  <si>
    <t>4628001003</t>
  </si>
  <si>
    <t>31257845</t>
  </si>
  <si>
    <t>Администрация Суджанского района</t>
  </si>
  <si>
    <t>4623002853</t>
  </si>
  <si>
    <t>01-12-2018 00:00:00</t>
  </si>
  <si>
    <t>31088689</t>
  </si>
  <si>
    <t>Администрация Сухиновского сельсовета Глушковского района Курской области</t>
  </si>
  <si>
    <t>4603000569</t>
  </si>
  <si>
    <t>31890673</t>
  </si>
  <si>
    <t>Администрация Шептуховского сельсовета Кореневского района</t>
  </si>
  <si>
    <t>4610001080</t>
  </si>
  <si>
    <t>05-11-2001 00:00:00</t>
  </si>
  <si>
    <t>30910110</t>
  </si>
  <si>
    <t>Администрация п. Кировский Пристенского района Курской области</t>
  </si>
  <si>
    <t>4619000525</t>
  </si>
  <si>
    <t>31659460</t>
  </si>
  <si>
    <t>Администрация п. Новокасторное Касторенского района Курской области</t>
  </si>
  <si>
    <t>4608000548</t>
  </si>
  <si>
    <t>02-09-2002 00:00:00</t>
  </si>
  <si>
    <t>31281144</t>
  </si>
  <si>
    <t>МАУ "Марьинское ЖКХ"</t>
  </si>
  <si>
    <t>4620014226</t>
  </si>
  <si>
    <t>26373194</t>
  </si>
  <si>
    <t>МАУ"Служба заказчика по ЖКУ Октябрьского сельсовета"</t>
  </si>
  <si>
    <t>4620006730</t>
  </si>
  <si>
    <t>31879026</t>
  </si>
  <si>
    <t>МБУ "ЖИЛИЩНО-КОММУНАЛЬНОЕ ХОЗЯЙСТВО КУРЧАТОВСКОГО РАЙОНА"</t>
  </si>
  <si>
    <t>4600005054</t>
  </si>
  <si>
    <t>460001001</t>
  </si>
  <si>
    <t>01-11-2025 00:00:00</t>
  </si>
  <si>
    <t>28254492</t>
  </si>
  <si>
    <t>МБУ "ОХО" поселка Медвенка</t>
  </si>
  <si>
    <t>4615007054</t>
  </si>
  <si>
    <t>461501001</t>
  </si>
  <si>
    <t>31737786</t>
  </si>
  <si>
    <t>МКУ "По обеспечению деятельности Администрации Тимского района Курской области"</t>
  </si>
  <si>
    <t>4624007967</t>
  </si>
  <si>
    <t>31738249</t>
  </si>
  <si>
    <t>МКУ "Управление ОДОМС " Поселка Солнцево</t>
  </si>
  <si>
    <t>4622001409</t>
  </si>
  <si>
    <t>14-06-2013 00:00:00</t>
  </si>
  <si>
    <t>27784674</t>
  </si>
  <si>
    <t>МП "Водоканал"</t>
  </si>
  <si>
    <t>4605006372</t>
  </si>
  <si>
    <t>05-05-2012 00:00:00</t>
  </si>
  <si>
    <t>28068342</t>
  </si>
  <si>
    <t>МУ "Служба заказчика по ЖКУ Городенского сельсовета"</t>
  </si>
  <si>
    <t>4613011175</t>
  </si>
  <si>
    <t>15-09-2025 00:00:00</t>
  </si>
  <si>
    <t>26373198</t>
  </si>
  <si>
    <t>МУ "Служба заказчика по ЖКУ Крупецкого сельсовета"</t>
  </si>
  <si>
    <t>4620006842</t>
  </si>
  <si>
    <t>31411333</t>
  </si>
  <si>
    <t>МУНИЦИПАЛЬНОЕ КАЗЕННОЕ ПРЕДПРИЯТИЕ "РЫЛЬСКИЕ КОММУНАЛЬНЫЕ СЕТИ" МУНИЦИПАЛЬНОГО ОБРАЗОВАНИЯ "ГОРОД РЫЛЬСК" РЫЛЬСКОГО РАЙОНА КУРСКОЙ ОБЛАСТИ</t>
  </si>
  <si>
    <t>4620014931</t>
  </si>
  <si>
    <t>26373204</t>
  </si>
  <si>
    <t>МУП  "Водопроводного и жилищного-коммунального хозяйства" село Замостье при М.О."Замостянский сельсовет"</t>
  </si>
  <si>
    <t>4623005710</t>
  </si>
  <si>
    <t>26373209</t>
  </si>
  <si>
    <t>МУП "Водоканал-сервис"</t>
  </si>
  <si>
    <t>4627002389</t>
  </si>
  <si>
    <t>462701001</t>
  </si>
  <si>
    <t>26380385</t>
  </si>
  <si>
    <t>МУП "Горводоканал"</t>
  </si>
  <si>
    <t>4633002429</t>
  </si>
  <si>
    <t>26373220</t>
  </si>
  <si>
    <t>МУП "Дружненское ЖКХ"</t>
  </si>
  <si>
    <t>4634009201</t>
  </si>
  <si>
    <t>24-12-2024 00:00:00</t>
  </si>
  <si>
    <t>31538877</t>
  </si>
  <si>
    <t>МУП "ЖКХ Глушковского района"</t>
  </si>
  <si>
    <t>4603009057</t>
  </si>
  <si>
    <t>31424011</t>
  </si>
  <si>
    <t>МУП "ЖКХ Магнитный"</t>
  </si>
  <si>
    <t>4633039073</t>
  </si>
  <si>
    <t>22-01-2024 00:00:00</t>
  </si>
  <si>
    <t>31256178</t>
  </si>
  <si>
    <t>МУП "ЖКХ п. Олымский"</t>
  </si>
  <si>
    <t>4608006564</t>
  </si>
  <si>
    <t>05-08-2018 00:00:00</t>
  </si>
  <si>
    <t>28068061</t>
  </si>
  <si>
    <t>МУП "Жилкомсерис п. Поныри"</t>
  </si>
  <si>
    <t>4618003594</t>
  </si>
  <si>
    <t>10-02-2006 00:00:00</t>
  </si>
  <si>
    <t>28940776</t>
  </si>
  <si>
    <t>МУП "Калиновское ЖКХ" Администрации Хомутовского района Курской области</t>
  </si>
  <si>
    <t>4626003774</t>
  </si>
  <si>
    <t>31590534</t>
  </si>
  <si>
    <t>МУП "Коммунальные сети"  Рыльского района</t>
  </si>
  <si>
    <t>4620015050</t>
  </si>
  <si>
    <t>25-02-2022 00:00:00</t>
  </si>
  <si>
    <t>31423981</t>
  </si>
  <si>
    <t>МУП "Комфорт" Курчатовского района</t>
  </si>
  <si>
    <t>4634013399</t>
  </si>
  <si>
    <t>20-01-2020 00:00:00</t>
  </si>
  <si>
    <t>31-10-2025 00:00:00</t>
  </si>
  <si>
    <t>31864213</t>
  </si>
  <si>
    <t>МУП "Конышевское ЖКХ"</t>
  </si>
  <si>
    <t>4600005015</t>
  </si>
  <si>
    <t>30-07-2025 00:00:00</t>
  </si>
  <si>
    <t>26373211</t>
  </si>
  <si>
    <t>МУП "Курскводоканал"</t>
  </si>
  <si>
    <t>4629026667</t>
  </si>
  <si>
    <t>27980658</t>
  </si>
  <si>
    <t>МУП "Курчатовское районное ЖКХ"</t>
  </si>
  <si>
    <t>4634011426</t>
  </si>
  <si>
    <t>31253987</t>
  </si>
  <si>
    <t>МУП "Льговское районное ЖКХ"</t>
  </si>
  <si>
    <t>4613006425</t>
  </si>
  <si>
    <t>30838799</t>
  </si>
  <si>
    <t>МУП "РВК"</t>
  </si>
  <si>
    <t>4633038351</t>
  </si>
  <si>
    <t>29-09-2025 00:00:00</t>
  </si>
  <si>
    <t>31446012</t>
  </si>
  <si>
    <t>МУП "СКХ"</t>
  </si>
  <si>
    <t>4623007940</t>
  </si>
  <si>
    <t>26373154</t>
  </si>
  <si>
    <t>МУП ВЖКХ села Коренево</t>
  </si>
  <si>
    <t>4610003049</t>
  </si>
  <si>
    <t>05-04-2004 00:00:00</t>
  </si>
  <si>
    <t>31280385</t>
  </si>
  <si>
    <t>МУП ВКХ администрации Шептуховского сельсовета</t>
  </si>
  <si>
    <t>4610003433</t>
  </si>
  <si>
    <t>06-02-2006 00:00:00</t>
  </si>
  <si>
    <t>22-09-2025 00:00:00</t>
  </si>
  <si>
    <t>26380377</t>
  </si>
  <si>
    <t>МУП ВКХ г. Суджи</t>
  </si>
  <si>
    <t>4623001105</t>
  </si>
  <si>
    <t>30372352</t>
  </si>
  <si>
    <t>МУП ЖКХ "Беловского района"</t>
  </si>
  <si>
    <t>4601005402</t>
  </si>
  <si>
    <t>26629765</t>
  </si>
  <si>
    <t>МУП ЖКХ администрации Пушкарского сельсовета</t>
  </si>
  <si>
    <t>4610003730</t>
  </si>
  <si>
    <t>24-04-2024 00:00:00</t>
  </si>
  <si>
    <t>31023130</t>
  </si>
  <si>
    <t>МУП КХ "Фатеж"</t>
  </si>
  <si>
    <t>4625006412</t>
  </si>
  <si>
    <t>31890618</t>
  </si>
  <si>
    <t>Муниципальное казенное учреждение "СОДА"</t>
  </si>
  <si>
    <t>4619004671</t>
  </si>
  <si>
    <t>16-04-2012 00:00:00</t>
  </si>
  <si>
    <t>26520825</t>
  </si>
  <si>
    <t>ОАО «Кривец-сахар»</t>
  </si>
  <si>
    <t>4614002688</t>
  </si>
  <si>
    <t>28267645</t>
  </si>
  <si>
    <t>ОКОУ "Школа-интернат № 3" г. Курска"</t>
  </si>
  <si>
    <t>4629043359</t>
  </si>
  <si>
    <t>31297415</t>
  </si>
  <si>
    <t>ООО "АкваБор Лимитед"</t>
  </si>
  <si>
    <t>4632041753</t>
  </si>
  <si>
    <t>31459983</t>
  </si>
  <si>
    <t>ООО "ВКЦ"</t>
  </si>
  <si>
    <t>4623007869</t>
  </si>
  <si>
    <t>27783825</t>
  </si>
  <si>
    <t>ООО "Водник"</t>
  </si>
  <si>
    <t>4610003779</t>
  </si>
  <si>
    <t>11-05-2012 00:00:00</t>
  </si>
  <si>
    <t>31508996</t>
  </si>
  <si>
    <t>26654110</t>
  </si>
  <si>
    <t>ООО "Водозабор"</t>
  </si>
  <si>
    <t>4616008325</t>
  </si>
  <si>
    <t>26598074</t>
  </si>
  <si>
    <t>ООО "Водоканал"</t>
  </si>
  <si>
    <t>4613011390</t>
  </si>
  <si>
    <t>26598654</t>
  </si>
  <si>
    <t>ООО "Водоканал" п. им. К. Либнехта</t>
  </si>
  <si>
    <t>4634009762</t>
  </si>
  <si>
    <t>30910426</t>
  </si>
  <si>
    <t>ООО "ЖКХ Черемисиновского района"</t>
  </si>
  <si>
    <t>4627003248</t>
  </si>
  <si>
    <t>26380369</t>
  </si>
  <si>
    <t>ООО "ЖКХ поселка Прямицыно"</t>
  </si>
  <si>
    <t>4617005180</t>
  </si>
  <si>
    <t>26599351</t>
  </si>
  <si>
    <t>ООО "ЖКХ с. Сейм"</t>
  </si>
  <si>
    <t>4614004043</t>
  </si>
  <si>
    <t>26600215</t>
  </si>
  <si>
    <t>ООО "Жилищно-коммунальный сервис п. Возы"</t>
  </si>
  <si>
    <t>4618003996</t>
  </si>
  <si>
    <t>27712094</t>
  </si>
  <si>
    <t>ООО "Инжстройсервис"</t>
  </si>
  <si>
    <t>4611011684</t>
  </si>
  <si>
    <t>29-09-2011 00:00:00</t>
  </si>
  <si>
    <t>08-09-2025 00:00:00</t>
  </si>
  <si>
    <t>26594910</t>
  </si>
  <si>
    <t>ООО "КОММУНАЛЬНЫЙ"</t>
  </si>
  <si>
    <t>4607005261</t>
  </si>
  <si>
    <t>28446024</t>
  </si>
  <si>
    <t>ООО "Коммунальщик Плюс"</t>
  </si>
  <si>
    <t>4604005961</t>
  </si>
  <si>
    <t>460401001</t>
  </si>
  <si>
    <t>30990088</t>
  </si>
  <si>
    <t>ООО "Олымский сахарный завод"</t>
  </si>
  <si>
    <t>4608005793</t>
  </si>
  <si>
    <t>31550790</t>
  </si>
  <si>
    <t>ООО "Промышленная лизинговая компания"</t>
  </si>
  <si>
    <t>4632218746</t>
  </si>
  <si>
    <t>31349578</t>
  </si>
  <si>
    <t>ООО "Сатурн"</t>
  </si>
  <si>
    <t>4620014890</t>
  </si>
  <si>
    <t>31480159</t>
  </si>
  <si>
    <t>ООО "Тимводсервис"</t>
  </si>
  <si>
    <t>4624001764</t>
  </si>
  <si>
    <t>26590820</t>
  </si>
  <si>
    <t>ООО "УК ЖКХ пос. Солнечный"</t>
  </si>
  <si>
    <t>4607005310</t>
  </si>
  <si>
    <t>14-08-2008 00:00:00</t>
  </si>
  <si>
    <t>28500131</t>
  </si>
  <si>
    <t>ООО "УК Конышевская"</t>
  </si>
  <si>
    <t>4609004457</t>
  </si>
  <si>
    <t>460901001</t>
  </si>
  <si>
    <t>30-09-2025 00:00:00</t>
  </si>
  <si>
    <t>27990413</t>
  </si>
  <si>
    <t>ООО "Фатежское КЭХ"</t>
  </si>
  <si>
    <t>4625005948</t>
  </si>
  <si>
    <t>26806528</t>
  </si>
  <si>
    <t>ООО "Хомутовское ЖКХ"</t>
  </si>
  <si>
    <t>4626003975</t>
  </si>
  <si>
    <t>26546484</t>
  </si>
  <si>
    <t>ООО Управляющая компания "Заказчик Касторное"</t>
  </si>
  <si>
    <t>4608005627</t>
  </si>
  <si>
    <t>28067786</t>
  </si>
  <si>
    <t>ПАО "Ростелеком" в лице Курского филиала</t>
  </si>
  <si>
    <t>7707049388</t>
  </si>
  <si>
    <t>31211497</t>
  </si>
  <si>
    <t>ТСЖ "Водоснабжение Красная долина"</t>
  </si>
  <si>
    <t>4608002665</t>
  </si>
  <si>
    <t>22-12-2016 00:00:00</t>
  </si>
  <si>
    <t>31276204</t>
  </si>
  <si>
    <t>ТСЖ "Водоснабжение Орехово"</t>
  </si>
  <si>
    <t>4608006525</t>
  </si>
  <si>
    <t>31088621</t>
  </si>
  <si>
    <t>ТСН "Водоснабжение Медвенского района"</t>
  </si>
  <si>
    <t>4615007488</t>
  </si>
  <si>
    <t>17-01-2018 00:00:00</t>
  </si>
  <si>
    <t>31246183</t>
  </si>
  <si>
    <t>ТСН "Водоснабжение Нижнереутчанского сельсовета"</t>
  </si>
  <si>
    <t>4615007495</t>
  </si>
  <si>
    <t>30990108</t>
  </si>
  <si>
    <t>ТСН "Водоснабжение Солнцевского района"</t>
  </si>
  <si>
    <t>4622008147</t>
  </si>
  <si>
    <t>31857855</t>
  </si>
  <si>
    <t>ФГБОУ ВО "Курский ГАУ"</t>
  </si>
  <si>
    <t>4629029121</t>
  </si>
  <si>
    <t>30861196</t>
  </si>
  <si>
    <t>Филиал "Золотухинский" ООО "КСП"</t>
  </si>
  <si>
    <t>3611009179</t>
  </si>
  <si>
    <t>31799822</t>
  </si>
  <si>
    <t>АДМИНИСТРАЦИЯ КУРЧАТОВСКОГО РАЙОНА КУРСКОЙ ОБЛАСТИ</t>
  </si>
  <si>
    <t>4634008720</t>
  </si>
  <si>
    <t>26-12-2005 00:00:00</t>
  </si>
  <si>
    <t>31408462</t>
  </si>
  <si>
    <t>АДМИНИСТРАЦИЯ СЕЛЕКЦИОННОГО СЕЛЬСОВЕТА ЛЬГОВСКОГО РАЙОНА</t>
  </si>
  <si>
    <t>4613001184</t>
  </si>
  <si>
    <t>26599727</t>
  </si>
  <si>
    <t>АНО "Водоснабжение Советского сельсовета"</t>
  </si>
  <si>
    <t>4621004333</t>
  </si>
  <si>
    <t>31256635</t>
  </si>
  <si>
    <t>Администрация Железногорского района Курской области</t>
  </si>
  <si>
    <t>4633017538</t>
  </si>
  <si>
    <t>28146382</t>
  </si>
  <si>
    <t>ЗАО "ЕПТК"</t>
  </si>
  <si>
    <t>7721012037</t>
  </si>
  <si>
    <t>770501001</t>
  </si>
  <si>
    <t>26600146</t>
  </si>
  <si>
    <t>ИП Солгалов Ю.В.</t>
  </si>
  <si>
    <t>461900035649</t>
  </si>
  <si>
    <t>26406192</t>
  </si>
  <si>
    <t>ООО "Курскхимволокно"</t>
  </si>
  <si>
    <t>7733542991</t>
  </si>
  <si>
    <t>26629630</t>
  </si>
  <si>
    <t>ООО "Промконсервы"</t>
  </si>
  <si>
    <t>7728276053</t>
  </si>
  <si>
    <t>460845004</t>
  </si>
  <si>
    <t>26598650</t>
  </si>
  <si>
    <t>ФКУ ИК-2 УФСИН России по Курской области</t>
  </si>
  <si>
    <t>4629037370</t>
  </si>
  <si>
    <t>462011001</t>
  </si>
  <si>
    <t>26503166</t>
  </si>
  <si>
    <t>ФКУ ИК-3 УФСИН России по Курской области</t>
  </si>
  <si>
    <t>4613004636</t>
  </si>
  <si>
    <t>26539451</t>
  </si>
  <si>
    <t>АО "САБ по уборке г. Курска"</t>
  </si>
  <si>
    <t>4632219475</t>
  </si>
  <si>
    <t>30908291</t>
  </si>
  <si>
    <t>ИП Дюдин А.И.</t>
  </si>
  <si>
    <t>462901255102</t>
  </si>
  <si>
    <t>30908122</t>
  </si>
  <si>
    <t>ИП Карпушин А.И.</t>
  </si>
  <si>
    <t>461500293589</t>
  </si>
  <si>
    <t>30908164</t>
  </si>
  <si>
    <t>МУП "Любимый город"</t>
  </si>
  <si>
    <t>4628003240</t>
  </si>
  <si>
    <t>29-08-2025 00:00:00</t>
  </si>
  <si>
    <t>30908286</t>
  </si>
  <si>
    <t>МУП ЖКХ г. Суджи</t>
  </si>
  <si>
    <t>4623003039</t>
  </si>
  <si>
    <t>30908088</t>
  </si>
  <si>
    <t>МУП ЖКХ п. Коренево</t>
  </si>
  <si>
    <t>4610000295</t>
  </si>
  <si>
    <t>30985093</t>
  </si>
  <si>
    <t>ООО "СРВ"</t>
  </si>
  <si>
    <t>4632232518</t>
  </si>
  <si>
    <t>31813873</t>
  </si>
  <si>
    <t>ООО "СУР"</t>
  </si>
  <si>
    <t>4600003963</t>
  </si>
  <si>
    <t>03-12-2024 00:00:00</t>
  </si>
  <si>
    <t>30908060</t>
  </si>
  <si>
    <t>ООО "Сервис"</t>
  </si>
  <si>
    <t>4604005866</t>
  </si>
  <si>
    <t>29-07-2024 00:00:00</t>
  </si>
  <si>
    <t>30908077</t>
  </si>
  <si>
    <t>ООО "СпецЭкоТранс"</t>
  </si>
  <si>
    <t>4633037559</t>
  </si>
  <si>
    <t>30908264</t>
  </si>
  <si>
    <t>ООО "ТКО-Сервис"</t>
  </si>
  <si>
    <t>4616007522</t>
  </si>
  <si>
    <t>30908064</t>
  </si>
  <si>
    <t>ООО "ТКО-Транс"</t>
  </si>
  <si>
    <t>4634008430</t>
  </si>
  <si>
    <t>31716314</t>
  </si>
  <si>
    <t>ООО "Флагман-Курск"</t>
  </si>
  <si>
    <t>4632291175</t>
  </si>
  <si>
    <t>06-12-2023 00:00:00</t>
  </si>
  <si>
    <t>30908168</t>
  </si>
  <si>
    <t>ООО "ЩУК ЖКХ"</t>
  </si>
  <si>
    <t>4628006731</t>
  </si>
  <si>
    <t>30985803</t>
  </si>
  <si>
    <t>ООО "Эко-Альянс"</t>
  </si>
  <si>
    <t>7701395335</t>
  </si>
  <si>
    <t>770101001</t>
  </si>
  <si>
    <t>30987293</t>
  </si>
  <si>
    <t>ООО "ЭкоРесурс"</t>
  </si>
  <si>
    <t>4634010140</t>
  </si>
  <si>
    <t>30430600</t>
  </si>
  <si>
    <t>ООО "Экопол"</t>
  </si>
  <si>
    <t>4632060153</t>
  </si>
  <si>
    <t>30908091</t>
  </si>
  <si>
    <t>ООО "Экотранс"</t>
  </si>
  <si>
    <t>4632130361</t>
  </si>
  <si>
    <t>28967487</t>
  </si>
  <si>
    <t>УМП "СУР"</t>
  </si>
  <si>
    <t>4620006049</t>
  </si>
  <si>
    <t>NSRF</t>
  </si>
  <si>
    <t>MR_NAME</t>
  </si>
  <si>
    <t>OKTMO_MR_NAME</t>
  </si>
  <si>
    <t>MO_NAME</t>
  </si>
  <si>
    <t>OKTMO_NAME</t>
  </si>
  <si>
    <t>TYPE</t>
  </si>
  <si>
    <t>MR_ID</t>
  </si>
  <si>
    <t>Беловский муниципальный район</t>
  </si>
  <si>
    <t>38602000</t>
  </si>
  <si>
    <t>Беличанский сельсовет</t>
  </si>
  <si>
    <t>38602404</t>
  </si>
  <si>
    <t>сельское поселение</t>
  </si>
  <si>
    <t>муниципальный район</t>
  </si>
  <si>
    <t>Беловский сельсовет</t>
  </si>
  <si>
    <t>38602408</t>
  </si>
  <si>
    <t>Бобравский сельсовет</t>
  </si>
  <si>
    <t>38602412</t>
  </si>
  <si>
    <t>Вишневский сельсовет</t>
  </si>
  <si>
    <t>38602416</t>
  </si>
  <si>
    <t>Гирьянский сельсовет</t>
  </si>
  <si>
    <t>38602420</t>
  </si>
  <si>
    <t>Долгобудский сельсовет</t>
  </si>
  <si>
    <t>38602424</t>
  </si>
  <si>
    <t>Ильковский сельсовет</t>
  </si>
  <si>
    <t>38602428</t>
  </si>
  <si>
    <t>Коммунаровский сельсовет</t>
  </si>
  <si>
    <t>38602430</t>
  </si>
  <si>
    <t>Кондратовский сельсовет</t>
  </si>
  <si>
    <t>38602432</t>
  </si>
  <si>
    <t>Корочанский сельсовет</t>
  </si>
  <si>
    <t>38602436</t>
  </si>
  <si>
    <t>Малосолдатский сельсовет</t>
  </si>
  <si>
    <t>38602438</t>
  </si>
  <si>
    <t>Пенский сельсовет</t>
  </si>
  <si>
    <t>38602452</t>
  </si>
  <si>
    <t>Песчанский сельсовет</t>
  </si>
  <si>
    <t>38602454</t>
  </si>
  <si>
    <t>Щеголянский сельсовет</t>
  </si>
  <si>
    <t>38602460</t>
  </si>
  <si>
    <t>Большесолдатский муниципальный район</t>
  </si>
  <si>
    <t>38603000</t>
  </si>
  <si>
    <t>Большесолдатский сельсовет</t>
  </si>
  <si>
    <t>38603403</t>
  </si>
  <si>
    <t>Волоконский сельсовет</t>
  </si>
  <si>
    <t>38603412</t>
  </si>
  <si>
    <t>Любимовский сельсовет</t>
  </si>
  <si>
    <t>38603425</t>
  </si>
  <si>
    <t>Любостанский сельсовет</t>
  </si>
  <si>
    <t>38603427</t>
  </si>
  <si>
    <t>Нижнегридинский сельсовет</t>
  </si>
  <si>
    <t>38603430</t>
  </si>
  <si>
    <t>Саморядовский сельсовет</t>
  </si>
  <si>
    <t>38603451</t>
  </si>
  <si>
    <t>Сторожевский сельсовет</t>
  </si>
  <si>
    <t>38603457</t>
  </si>
  <si>
    <t>Глушковский муниципальный район</t>
  </si>
  <si>
    <t>38604000</t>
  </si>
  <si>
    <t>Алексеевский сельсовет</t>
  </si>
  <si>
    <t>38604404</t>
  </si>
  <si>
    <t>Веселовский сельсовет</t>
  </si>
  <si>
    <t>38604412</t>
  </si>
  <si>
    <t>Званновский сельсовет</t>
  </si>
  <si>
    <t>38604420</t>
  </si>
  <si>
    <t>Карыжский сельсовет</t>
  </si>
  <si>
    <t>38604424</t>
  </si>
  <si>
    <t>Кобыльской сельсовет</t>
  </si>
  <si>
    <t>38604428</t>
  </si>
  <si>
    <t>Коровяковский сельсовет</t>
  </si>
  <si>
    <t>38604432</t>
  </si>
  <si>
    <t>Кульбакинский сельсовет</t>
  </si>
  <si>
    <t>38604436</t>
  </si>
  <si>
    <t>Марковский сельсовет</t>
  </si>
  <si>
    <t>38604440</t>
  </si>
  <si>
    <t>Нижнемордокский сельсовет</t>
  </si>
  <si>
    <t>38604444</t>
  </si>
  <si>
    <t>Попово-Лежачанский сельсовет</t>
  </si>
  <si>
    <t>38604448</t>
  </si>
  <si>
    <t>Сухиновский сельсовет</t>
  </si>
  <si>
    <t>38604456</t>
  </si>
  <si>
    <t>поселок Глушково</t>
  </si>
  <si>
    <t>38604151</t>
  </si>
  <si>
    <t>городское поселение, в состав которого входит поселок</t>
  </si>
  <si>
    <t>поселок Теткино</t>
  </si>
  <si>
    <t>38604155</t>
  </si>
  <si>
    <t>Горшеченский муниципальный район</t>
  </si>
  <si>
    <t>38606000</t>
  </si>
  <si>
    <t>Богатыревский сельсовет</t>
  </si>
  <si>
    <t>38606404</t>
  </si>
  <si>
    <t>Быковский сельсовет</t>
  </si>
  <si>
    <t>38606408</t>
  </si>
  <si>
    <t>Знаменский сельсовет</t>
  </si>
  <si>
    <t>38606412</t>
  </si>
  <si>
    <t>Ключевский сельсовет</t>
  </si>
  <si>
    <t>38606416</t>
  </si>
  <si>
    <t>Куньевский сельсовет</t>
  </si>
  <si>
    <t>38606424</t>
  </si>
  <si>
    <t>Нижнеборковский сельсовет</t>
  </si>
  <si>
    <t>38606428</t>
  </si>
  <si>
    <t>Никольский сельсовет</t>
  </si>
  <si>
    <t>38606432</t>
  </si>
  <si>
    <t>Новомеловский сельсовет</t>
  </si>
  <si>
    <t>38606436</t>
  </si>
  <si>
    <t>Солдатский сельсовет</t>
  </si>
  <si>
    <t>38606444</t>
  </si>
  <si>
    <t>Сосновский сельсовет</t>
  </si>
  <si>
    <t>38606448</t>
  </si>
  <si>
    <t>Среднеапоченский сельсовет</t>
  </si>
  <si>
    <t>38606452</t>
  </si>
  <si>
    <t>Старороговский сельсовет</t>
  </si>
  <si>
    <t>38606460</t>
  </si>
  <si>
    <t>Удобенский сельсовет</t>
  </si>
  <si>
    <t>38606468</t>
  </si>
  <si>
    <t>Ясеновский сельсовет</t>
  </si>
  <si>
    <t>38606472</t>
  </si>
  <si>
    <t>поселок Горшечное</t>
  </si>
  <si>
    <t>38606151</t>
  </si>
  <si>
    <t>Дмитриевский муниципальный район</t>
  </si>
  <si>
    <t>38608000</t>
  </si>
  <si>
    <t>Дерюгинский сельсовет</t>
  </si>
  <si>
    <t>38608416</t>
  </si>
  <si>
    <t>Крупецкой сельсовет</t>
  </si>
  <si>
    <t>38608420</t>
  </si>
  <si>
    <t>Новопершинский сельсовет</t>
  </si>
  <si>
    <t>38608432</t>
  </si>
  <si>
    <t>Первоавгустовский сельсовет</t>
  </si>
  <si>
    <t>38608438</t>
  </si>
  <si>
    <t>Поповский сельсовет</t>
  </si>
  <si>
    <t>38608444</t>
  </si>
  <si>
    <t>Почепский сельсовет</t>
  </si>
  <si>
    <t>38608448</t>
  </si>
  <si>
    <t>60</t>
  </si>
  <si>
    <t>Старогородский сельсовет</t>
  </si>
  <si>
    <t>38608460</t>
  </si>
  <si>
    <t>61</t>
  </si>
  <si>
    <t>город Дмитриев</t>
  </si>
  <si>
    <t>38608101</t>
  </si>
  <si>
    <t>городское поселение, в состав которого входит город</t>
  </si>
  <si>
    <t>62</t>
  </si>
  <si>
    <t>Железногорский муниципальный район</t>
  </si>
  <si>
    <t>38610000</t>
  </si>
  <si>
    <t>Андросовский сельсовет</t>
  </si>
  <si>
    <t>38610404</t>
  </si>
  <si>
    <t>63</t>
  </si>
  <si>
    <t>Веретенинский сельсовет</t>
  </si>
  <si>
    <t>38610410</t>
  </si>
  <si>
    <t>64</t>
  </si>
  <si>
    <t>Волковский сельсовет</t>
  </si>
  <si>
    <t>38610412</t>
  </si>
  <si>
    <t>65</t>
  </si>
  <si>
    <t>Городновский сельсовет</t>
  </si>
  <si>
    <t>38610414</t>
  </si>
  <si>
    <t>67</t>
  </si>
  <si>
    <t>Кармановский сельсовет</t>
  </si>
  <si>
    <t>38610428</t>
  </si>
  <si>
    <t>Линецкий сельсовет</t>
  </si>
  <si>
    <t>38610416</t>
  </si>
  <si>
    <t>69</t>
  </si>
  <si>
    <t>Михайловский сельсовет</t>
  </si>
  <si>
    <t>38610420</t>
  </si>
  <si>
    <t>70</t>
  </si>
  <si>
    <t>Новоандросовский сельсовет</t>
  </si>
  <si>
    <t>38610424</t>
  </si>
  <si>
    <t>71</t>
  </si>
  <si>
    <t>Разветьевский сельсовет</t>
  </si>
  <si>
    <t>38610432</t>
  </si>
  <si>
    <t>72</t>
  </si>
  <si>
    <t>Рышковский сельсовет</t>
  </si>
  <si>
    <t>38610440</t>
  </si>
  <si>
    <t>73</t>
  </si>
  <si>
    <t>Студенокский сельсовет</t>
  </si>
  <si>
    <t>38610446</t>
  </si>
  <si>
    <t>74</t>
  </si>
  <si>
    <t>Троицкий сельсовет</t>
  </si>
  <si>
    <t>38610448</t>
  </si>
  <si>
    <t>75</t>
  </si>
  <si>
    <t>поселок Магнитный</t>
  </si>
  <si>
    <t>38610160</t>
  </si>
  <si>
    <t>76</t>
  </si>
  <si>
    <t>Золотухинский муниципальный район</t>
  </si>
  <si>
    <t>38612000</t>
  </si>
  <si>
    <t>Ануфриевский сельсовет</t>
  </si>
  <si>
    <t>38612404</t>
  </si>
  <si>
    <t>77</t>
  </si>
  <si>
    <t>Апальковский сельсовет</t>
  </si>
  <si>
    <t>38612406</t>
  </si>
  <si>
    <t>78</t>
  </si>
  <si>
    <t>Будановский сельсовет</t>
  </si>
  <si>
    <t>38612412</t>
  </si>
  <si>
    <t>79</t>
  </si>
  <si>
    <t>Дмитриевский сельсовет</t>
  </si>
  <si>
    <t>38612428</t>
  </si>
  <si>
    <t>80</t>
  </si>
  <si>
    <t>Донской сельсовет</t>
  </si>
  <si>
    <t>38612432</t>
  </si>
  <si>
    <t>81</t>
  </si>
  <si>
    <t>82</t>
  </si>
  <si>
    <t>Новоспасский сельсовет</t>
  </si>
  <si>
    <t>38612444</t>
  </si>
  <si>
    <t>83</t>
  </si>
  <si>
    <t>Свободинский сельсовет</t>
  </si>
  <si>
    <t>38612456</t>
  </si>
  <si>
    <t>84</t>
  </si>
  <si>
    <t>Солнечный сельсовет</t>
  </si>
  <si>
    <t>38612466</t>
  </si>
  <si>
    <t>85</t>
  </si>
  <si>
    <t>Тазовский сельсовет</t>
  </si>
  <si>
    <t>38612468</t>
  </si>
  <si>
    <t>86</t>
  </si>
  <si>
    <t>поселок Золотухино</t>
  </si>
  <si>
    <t>38612151</t>
  </si>
  <si>
    <t>87</t>
  </si>
  <si>
    <t>Касторенский муниципальный район</t>
  </si>
  <si>
    <t>38614000</t>
  </si>
  <si>
    <t>38614408</t>
  </si>
  <si>
    <t>88</t>
  </si>
  <si>
    <t>Андреевский сельсовет</t>
  </si>
  <si>
    <t>38614410</t>
  </si>
  <si>
    <t>89</t>
  </si>
  <si>
    <t>Верхнеграйворонский сельсовет</t>
  </si>
  <si>
    <t>38614416</t>
  </si>
  <si>
    <t>90</t>
  </si>
  <si>
    <t>Егорьевский сельсовет</t>
  </si>
  <si>
    <t>38614428</t>
  </si>
  <si>
    <t>91</t>
  </si>
  <si>
    <t>Жерновецкий сельсовет</t>
  </si>
  <si>
    <t>38614432</t>
  </si>
  <si>
    <t>92</t>
  </si>
  <si>
    <t>93</t>
  </si>
  <si>
    <t>Котовский сельсовет</t>
  </si>
  <si>
    <t>38614436</t>
  </si>
  <si>
    <t>94</t>
  </si>
  <si>
    <t>Краснодолинский сельсовет</t>
  </si>
  <si>
    <t>38614440</t>
  </si>
  <si>
    <t>95</t>
  </si>
  <si>
    <t>Краснознаменский сельсовет</t>
  </si>
  <si>
    <t>38614444</t>
  </si>
  <si>
    <t>96</t>
  </si>
  <si>
    <t>Лачиновский сельсовет</t>
  </si>
  <si>
    <t>38614448</t>
  </si>
  <si>
    <t>97</t>
  </si>
  <si>
    <t>Ленинский сельсовет</t>
  </si>
  <si>
    <t>38614452</t>
  </si>
  <si>
    <t>98</t>
  </si>
  <si>
    <t>Ореховский сельсовет</t>
  </si>
  <si>
    <t>38614464</t>
  </si>
  <si>
    <t>99</t>
  </si>
  <si>
    <t>Семеновский сельсовет</t>
  </si>
  <si>
    <t>38614472</t>
  </si>
  <si>
    <t>100</t>
  </si>
  <si>
    <t>Успенский сельсовет</t>
  </si>
  <si>
    <t>38614476</t>
  </si>
  <si>
    <t>101</t>
  </si>
  <si>
    <t>поселок Касторное</t>
  </si>
  <si>
    <t>38614151</t>
  </si>
  <si>
    <t>102</t>
  </si>
  <si>
    <t>поселок Новокасторное</t>
  </si>
  <si>
    <t>38614153</t>
  </si>
  <si>
    <t>103</t>
  </si>
  <si>
    <t>поселок Олымский</t>
  </si>
  <si>
    <t>38614154</t>
  </si>
  <si>
    <t>104</t>
  </si>
  <si>
    <t>Конышевский муниципальный район</t>
  </si>
  <si>
    <t>38616000</t>
  </si>
  <si>
    <t>Беляевский сельсовет</t>
  </si>
  <si>
    <t>38616404</t>
  </si>
  <si>
    <t>105</t>
  </si>
  <si>
    <t>Ваблинский сельсовет</t>
  </si>
  <si>
    <t>38616408</t>
  </si>
  <si>
    <t>106</t>
  </si>
  <si>
    <t>Захарковский сельсовет</t>
  </si>
  <si>
    <t>38616420</t>
  </si>
  <si>
    <t>107</t>
  </si>
  <si>
    <t>108</t>
  </si>
  <si>
    <t>Малогородьковский сельсовет</t>
  </si>
  <si>
    <t>38616426</t>
  </si>
  <si>
    <t>109</t>
  </si>
  <si>
    <t>Машкинский сельсовет</t>
  </si>
  <si>
    <t>38616428</t>
  </si>
  <si>
    <t>110</t>
  </si>
  <si>
    <t>Наумовский сельсовет</t>
  </si>
  <si>
    <t>38616432</t>
  </si>
  <si>
    <t>111</t>
  </si>
  <si>
    <t>Платавский сельсовет</t>
  </si>
  <si>
    <t>38616436</t>
  </si>
  <si>
    <t>112</t>
  </si>
  <si>
    <t>Прилепский сельсовет</t>
  </si>
  <si>
    <t>38616440</t>
  </si>
  <si>
    <t>113</t>
  </si>
  <si>
    <t>Старобелицкий сельсовет</t>
  </si>
  <si>
    <t>38616444</t>
  </si>
  <si>
    <t>114</t>
  </si>
  <si>
    <t>поселок Конышевка</t>
  </si>
  <si>
    <t>38616151</t>
  </si>
  <si>
    <t>115</t>
  </si>
  <si>
    <t>Кореневский муниципальный район</t>
  </si>
  <si>
    <t>38618000</t>
  </si>
  <si>
    <t>Викторовский сельсовет</t>
  </si>
  <si>
    <t>38618412</t>
  </si>
  <si>
    <t>116</t>
  </si>
  <si>
    <t>Комаровский сельсовет</t>
  </si>
  <si>
    <t>38618416</t>
  </si>
  <si>
    <t>117</t>
  </si>
  <si>
    <t>118</t>
  </si>
  <si>
    <t>Кореневский сельсовет</t>
  </si>
  <si>
    <t>38618420</t>
  </si>
  <si>
    <t>119</t>
  </si>
  <si>
    <t>38618428</t>
  </si>
  <si>
    <t>120</t>
  </si>
  <si>
    <t>Ольговский сельсовет</t>
  </si>
  <si>
    <t>38618432</t>
  </si>
  <si>
    <t>121</t>
  </si>
  <si>
    <t>Пушкарский сельсовет</t>
  </si>
  <si>
    <t>38618436</t>
  </si>
  <si>
    <t>122</t>
  </si>
  <si>
    <t>Снагостский сельсовет</t>
  </si>
  <si>
    <t>38618444</t>
  </si>
  <si>
    <t>123</t>
  </si>
  <si>
    <t>Толпинский сельсовет</t>
  </si>
  <si>
    <t>38618448</t>
  </si>
  <si>
    <t>124</t>
  </si>
  <si>
    <t>Шептуховский сельсовет</t>
  </si>
  <si>
    <t>38618452</t>
  </si>
  <si>
    <t>125</t>
  </si>
  <si>
    <t>поселок Коренево</t>
  </si>
  <si>
    <t>38618151</t>
  </si>
  <si>
    <t>126</t>
  </si>
  <si>
    <t>Курский муниципальный район</t>
  </si>
  <si>
    <t>38620000</t>
  </si>
  <si>
    <t>Бесединский сельсовет</t>
  </si>
  <si>
    <t>38620408</t>
  </si>
  <si>
    <t>127</t>
  </si>
  <si>
    <t>Брежневский сельсовет</t>
  </si>
  <si>
    <t>38620412</t>
  </si>
  <si>
    <t>128</t>
  </si>
  <si>
    <t>Винниковский сельсовет</t>
  </si>
  <si>
    <t>38620420</t>
  </si>
  <si>
    <t>129</t>
  </si>
  <si>
    <t>Ворошневский сельсовет</t>
  </si>
  <si>
    <t>38620424</t>
  </si>
  <si>
    <t>130</t>
  </si>
  <si>
    <t>Камышинский сельсовет</t>
  </si>
  <si>
    <t>38620426</t>
  </si>
  <si>
    <t>131</t>
  </si>
  <si>
    <t>Клюквинский сельсовет</t>
  </si>
  <si>
    <t>38620428</t>
  </si>
  <si>
    <t>132</t>
  </si>
  <si>
    <t>133</t>
  </si>
  <si>
    <t>Лебяженский сельсовет</t>
  </si>
  <si>
    <t>38620432</t>
  </si>
  <si>
    <t>134</t>
  </si>
  <si>
    <t>Моковский сельсовет</t>
  </si>
  <si>
    <t>38620436</t>
  </si>
  <si>
    <t>135</t>
  </si>
  <si>
    <t>Нижнемедведицкий сельсовет</t>
  </si>
  <si>
    <t>38620448</t>
  </si>
  <si>
    <t>136</t>
  </si>
  <si>
    <t>Новопоселеновский сельсовет</t>
  </si>
  <si>
    <t>38620452</t>
  </si>
  <si>
    <t>137</t>
  </si>
  <si>
    <t>Ноздрачевский сельсовет</t>
  </si>
  <si>
    <t>38620456</t>
  </si>
  <si>
    <t>138</t>
  </si>
  <si>
    <t>Пашковский сельсовет</t>
  </si>
  <si>
    <t>38620460</t>
  </si>
  <si>
    <t>139</t>
  </si>
  <si>
    <t>Полевской сельсовет</t>
  </si>
  <si>
    <t>38620468</t>
  </si>
  <si>
    <t>140</t>
  </si>
  <si>
    <t>Полянский сельсовет</t>
  </si>
  <si>
    <t>38620472</t>
  </si>
  <si>
    <t>141</t>
  </si>
  <si>
    <t>38620476</t>
  </si>
  <si>
    <t>142</t>
  </si>
  <si>
    <t>Шумаковский сельсовет</t>
  </si>
  <si>
    <t>38620488</t>
  </si>
  <si>
    <t>143</t>
  </si>
  <si>
    <t>Щетинский сельсовет</t>
  </si>
  <si>
    <t>38620492</t>
  </si>
  <si>
    <t>144</t>
  </si>
  <si>
    <t>Курчатовский муниципальный район</t>
  </si>
  <si>
    <t>38621000</t>
  </si>
  <si>
    <t>Дичнянский сельсовет</t>
  </si>
  <si>
    <t>38621442</t>
  </si>
  <si>
    <t>145</t>
  </si>
  <si>
    <t>Дружненский сельсовет</t>
  </si>
  <si>
    <t>38621410</t>
  </si>
  <si>
    <t>146</t>
  </si>
  <si>
    <t>Колпаковский сельсовет</t>
  </si>
  <si>
    <t>38621418</t>
  </si>
  <si>
    <t>147</t>
  </si>
  <si>
    <t>Костельцевский сельсовет</t>
  </si>
  <si>
    <t>38621425</t>
  </si>
  <si>
    <t>148</t>
  </si>
  <si>
    <t>149</t>
  </si>
  <si>
    <t>Макаровский сельсовет</t>
  </si>
  <si>
    <t>38621422</t>
  </si>
  <si>
    <t>150</t>
  </si>
  <si>
    <t>Чаплинский сельсовет</t>
  </si>
  <si>
    <t>38621449</t>
  </si>
  <si>
    <t>151</t>
  </si>
  <si>
    <t>поселок Иванино</t>
  </si>
  <si>
    <t>38621152</t>
  </si>
  <si>
    <t>152</t>
  </si>
  <si>
    <t>поселок имени Карла Либкнехта</t>
  </si>
  <si>
    <t>38621153</t>
  </si>
  <si>
    <t>153</t>
  </si>
  <si>
    <t>Льговский муниципальный район</t>
  </si>
  <si>
    <t>38622000</t>
  </si>
  <si>
    <t>Большеугонский сельсовет</t>
  </si>
  <si>
    <t>38622410</t>
  </si>
  <si>
    <t>154</t>
  </si>
  <si>
    <t>Вышнедеревенский сельсовет</t>
  </si>
  <si>
    <t>38622417</t>
  </si>
  <si>
    <t>155</t>
  </si>
  <si>
    <t>Городенский сельсовет</t>
  </si>
  <si>
    <t>38622420</t>
  </si>
  <si>
    <t>156</t>
  </si>
  <si>
    <t>Густомойский сельсовет</t>
  </si>
  <si>
    <t>38622424</t>
  </si>
  <si>
    <t>157</t>
  </si>
  <si>
    <t>Иванчиковский сельсовет</t>
  </si>
  <si>
    <t>38622435</t>
  </si>
  <si>
    <t>158</t>
  </si>
  <si>
    <t>Кудинцевский сельсовет</t>
  </si>
  <si>
    <t>38622450</t>
  </si>
  <si>
    <t>159</t>
  </si>
  <si>
    <t>160</t>
  </si>
  <si>
    <t>Марицкий сельсовет</t>
  </si>
  <si>
    <t>38622464</t>
  </si>
  <si>
    <t>161</t>
  </si>
  <si>
    <t>Селекционный сельсовет</t>
  </si>
  <si>
    <t>38622477</t>
  </si>
  <si>
    <t>162</t>
  </si>
  <si>
    <t>Мантуровский муниципальный район</t>
  </si>
  <si>
    <t>38623000</t>
  </si>
  <si>
    <t>2 Засеймский сельсовет</t>
  </si>
  <si>
    <t>38623410</t>
  </si>
  <si>
    <t>163</t>
  </si>
  <si>
    <t>Куськинский сельсовет</t>
  </si>
  <si>
    <t>38623419</t>
  </si>
  <si>
    <t>164</t>
  </si>
  <si>
    <t>165</t>
  </si>
  <si>
    <t>Мантуровский сельсовет</t>
  </si>
  <si>
    <t>38623422</t>
  </si>
  <si>
    <t>166</t>
  </si>
  <si>
    <t>Останинский сельсовет</t>
  </si>
  <si>
    <t>38623426</t>
  </si>
  <si>
    <t>167</t>
  </si>
  <si>
    <t>Репецкий сельсовет</t>
  </si>
  <si>
    <t>38623436</t>
  </si>
  <si>
    <t>168</t>
  </si>
  <si>
    <t>Сеймский сельсовет</t>
  </si>
  <si>
    <t>38623441</t>
  </si>
  <si>
    <t>169</t>
  </si>
  <si>
    <t>Ястребовский сельсовет</t>
  </si>
  <si>
    <t>38623460</t>
  </si>
  <si>
    <t>170</t>
  </si>
  <si>
    <t>Медвенский муниципальный район</t>
  </si>
  <si>
    <t>38624000</t>
  </si>
  <si>
    <t>Амосовский сельсовет</t>
  </si>
  <si>
    <t>38624404</t>
  </si>
  <si>
    <t>171</t>
  </si>
  <si>
    <t>Высокский сельсовет</t>
  </si>
  <si>
    <t>38624408</t>
  </si>
  <si>
    <t>172</t>
  </si>
  <si>
    <t>Вышнереутчанский сельсовет</t>
  </si>
  <si>
    <t>38624416</t>
  </si>
  <si>
    <t>173</t>
  </si>
  <si>
    <t>Гостомлянский сельсовет</t>
  </si>
  <si>
    <t>38624420</t>
  </si>
  <si>
    <t>174</t>
  </si>
  <si>
    <t>Китаевский сельсовет</t>
  </si>
  <si>
    <t>38624424</t>
  </si>
  <si>
    <t>175</t>
  </si>
  <si>
    <t>176</t>
  </si>
  <si>
    <t>Нижнереутчанский сельсовет</t>
  </si>
  <si>
    <t>38624436</t>
  </si>
  <si>
    <t>177</t>
  </si>
  <si>
    <t>Паникинский сельсовет</t>
  </si>
  <si>
    <t>38624440</t>
  </si>
  <si>
    <t>178</t>
  </si>
  <si>
    <t>Панинский сельсовет</t>
  </si>
  <si>
    <t>38624444</t>
  </si>
  <si>
    <t>179</t>
  </si>
  <si>
    <t>Черемошнянский сельсовет</t>
  </si>
  <si>
    <t>38624456</t>
  </si>
  <si>
    <t>180</t>
  </si>
  <si>
    <t>поселок Медвенка</t>
  </si>
  <si>
    <t>38624151</t>
  </si>
  <si>
    <t>181</t>
  </si>
  <si>
    <t>Обоянский муниципальный район</t>
  </si>
  <si>
    <t>38626000</t>
  </si>
  <si>
    <t>Афанасьевский сельсовет</t>
  </si>
  <si>
    <t>38626404</t>
  </si>
  <si>
    <t>182</t>
  </si>
  <si>
    <t>Бабинский сельсовет</t>
  </si>
  <si>
    <t>38626408</t>
  </si>
  <si>
    <t>183</t>
  </si>
  <si>
    <t>Башкатовский сельсовет</t>
  </si>
  <si>
    <t>38626412</t>
  </si>
  <si>
    <t>184</t>
  </si>
  <si>
    <t>Быкановский сельсовет</t>
  </si>
  <si>
    <t>38626420</t>
  </si>
  <si>
    <t>185</t>
  </si>
  <si>
    <t>Гридасовский сельсовет</t>
  </si>
  <si>
    <t>38626424</t>
  </si>
  <si>
    <t>186</t>
  </si>
  <si>
    <t>Зоринский сельсовет</t>
  </si>
  <si>
    <t>38626432</t>
  </si>
  <si>
    <t>187</t>
  </si>
  <si>
    <t>Каменский сельсовет</t>
  </si>
  <si>
    <t>38626436</t>
  </si>
  <si>
    <t>188</t>
  </si>
  <si>
    <t>Котельниковский сельсовет</t>
  </si>
  <si>
    <t>38626444</t>
  </si>
  <si>
    <t>189</t>
  </si>
  <si>
    <t>190</t>
  </si>
  <si>
    <t>Рудавский сельсовет</t>
  </si>
  <si>
    <t>38626456</t>
  </si>
  <si>
    <t>191</t>
  </si>
  <si>
    <t>Рыбино-Будский сельсовет</t>
  </si>
  <si>
    <t>38626460</t>
  </si>
  <si>
    <t>192</t>
  </si>
  <si>
    <t>Усланский сельсовет</t>
  </si>
  <si>
    <t>38626468</t>
  </si>
  <si>
    <t>193</t>
  </si>
  <si>
    <t>Шевелевский сельсовет</t>
  </si>
  <si>
    <t>38626472</t>
  </si>
  <si>
    <t>194</t>
  </si>
  <si>
    <t>город Обоянь</t>
  </si>
  <si>
    <t>38626101</t>
  </si>
  <si>
    <t>195</t>
  </si>
  <si>
    <t>Октябрьский муниципальный район</t>
  </si>
  <si>
    <t>38628000</t>
  </si>
  <si>
    <t>Артюховский сельсовет</t>
  </si>
  <si>
    <t>38628404</t>
  </si>
  <si>
    <t>196</t>
  </si>
  <si>
    <t>Большедолженковский сельсовет</t>
  </si>
  <si>
    <t>38628408</t>
  </si>
  <si>
    <t>197</t>
  </si>
  <si>
    <t>Дьяконовский сельсовет</t>
  </si>
  <si>
    <t>38628412</t>
  </si>
  <si>
    <t>198</t>
  </si>
  <si>
    <t>Катыринский сельсовет</t>
  </si>
  <si>
    <t>38628416</t>
  </si>
  <si>
    <t>199</t>
  </si>
  <si>
    <t>Лобазовский сельсовет</t>
  </si>
  <si>
    <t>38628420</t>
  </si>
  <si>
    <t>200</t>
  </si>
  <si>
    <t>38628424</t>
  </si>
  <si>
    <t>201</t>
  </si>
  <si>
    <t>202</t>
  </si>
  <si>
    <t>Плотавский сельсовет</t>
  </si>
  <si>
    <t>38628426</t>
  </si>
  <si>
    <t>203</t>
  </si>
  <si>
    <t>Старковский сельсовет</t>
  </si>
  <si>
    <t>38628428</t>
  </si>
  <si>
    <t>204</t>
  </si>
  <si>
    <t>Филипповский сельсовет</t>
  </si>
  <si>
    <t>38628432</t>
  </si>
  <si>
    <t>205</t>
  </si>
  <si>
    <t>Черницынский сельсовет</t>
  </si>
  <si>
    <t>38628436</t>
  </si>
  <si>
    <t>206</t>
  </si>
  <si>
    <t>поселок Прямицыно</t>
  </si>
  <si>
    <t>38628151</t>
  </si>
  <si>
    <t>207</t>
  </si>
  <si>
    <t>Поныровский муниципальный район</t>
  </si>
  <si>
    <t>38630000</t>
  </si>
  <si>
    <t>1-й Поныровский сельсовет</t>
  </si>
  <si>
    <t>38630436</t>
  </si>
  <si>
    <t>208</t>
  </si>
  <si>
    <t>2-й Поныровский сельсовет</t>
  </si>
  <si>
    <t>38630440</t>
  </si>
  <si>
    <t>209</t>
  </si>
  <si>
    <t>Верхне-Смородинский сельсовет</t>
  </si>
  <si>
    <t>38630416</t>
  </si>
  <si>
    <t>210</t>
  </si>
  <si>
    <t>Возовский сельсовет</t>
  </si>
  <si>
    <t>38630418</t>
  </si>
  <si>
    <t>211</t>
  </si>
  <si>
    <t>Горяйновский сельсовет</t>
  </si>
  <si>
    <t>38630419</t>
  </si>
  <si>
    <t>212</t>
  </si>
  <si>
    <t>Ольховатский сельсовет</t>
  </si>
  <si>
    <t>38630428</t>
  </si>
  <si>
    <t>213</t>
  </si>
  <si>
    <t>Первомайский сельсовет</t>
  </si>
  <si>
    <t>38630432</t>
  </si>
  <si>
    <t>214</t>
  </si>
  <si>
    <t>215</t>
  </si>
  <si>
    <t>поселок Поныри</t>
  </si>
  <si>
    <t>38630151</t>
  </si>
  <si>
    <t>216</t>
  </si>
  <si>
    <t>Пристенский муниципальный район</t>
  </si>
  <si>
    <t>38632000</t>
  </si>
  <si>
    <t>Бобрышевский сельсовет</t>
  </si>
  <si>
    <t>38632404</t>
  </si>
  <si>
    <t>217</t>
  </si>
  <si>
    <t>38632428</t>
  </si>
  <si>
    <t>218</t>
  </si>
  <si>
    <t>Нагольненский сельсовет</t>
  </si>
  <si>
    <t>38632432</t>
  </si>
  <si>
    <t>219</t>
  </si>
  <si>
    <t>220</t>
  </si>
  <si>
    <t>Пристенский сельсовет</t>
  </si>
  <si>
    <t>38632444</t>
  </si>
  <si>
    <t>221</t>
  </si>
  <si>
    <t>Сазановский сельсовет</t>
  </si>
  <si>
    <t>38632460</t>
  </si>
  <si>
    <t>222</t>
  </si>
  <si>
    <t>Среднеольшанский сельсовет</t>
  </si>
  <si>
    <t>38632464</t>
  </si>
  <si>
    <t>223</t>
  </si>
  <si>
    <t>Черновецкий сельсовет</t>
  </si>
  <si>
    <t>38632473</t>
  </si>
  <si>
    <t>224</t>
  </si>
  <si>
    <t>Ярыгинский сельсовет</t>
  </si>
  <si>
    <t>38632480</t>
  </si>
  <si>
    <t>225</t>
  </si>
  <si>
    <t>поселок Кировский</t>
  </si>
  <si>
    <t>38632152</t>
  </si>
  <si>
    <t>226</t>
  </si>
  <si>
    <t>поселок Пристень</t>
  </si>
  <si>
    <t>38632151</t>
  </si>
  <si>
    <t>227</t>
  </si>
  <si>
    <t>Рыльский муниципальный район</t>
  </si>
  <si>
    <t>38634000</t>
  </si>
  <si>
    <t>Березниковский сельсовет</t>
  </si>
  <si>
    <t>38634412</t>
  </si>
  <si>
    <t>228</t>
  </si>
  <si>
    <t>Дуровский сельсовет</t>
  </si>
  <si>
    <t>38634432</t>
  </si>
  <si>
    <t>229</t>
  </si>
  <si>
    <t>Ивановский сельсовет</t>
  </si>
  <si>
    <t>38634436</t>
  </si>
  <si>
    <t>230</t>
  </si>
  <si>
    <t>Козинский сельсовет</t>
  </si>
  <si>
    <t>38634443</t>
  </si>
  <si>
    <t>231</t>
  </si>
  <si>
    <t>Крупецкий сельсовет</t>
  </si>
  <si>
    <t>38634448</t>
  </si>
  <si>
    <t>232</t>
  </si>
  <si>
    <t>Малогнеушевский сельсовет</t>
  </si>
  <si>
    <t>38634460</t>
  </si>
  <si>
    <t>233</t>
  </si>
  <si>
    <t>38634464</t>
  </si>
  <si>
    <t>234</t>
  </si>
  <si>
    <t>Некрасовский сельсовет</t>
  </si>
  <si>
    <t>38634468</t>
  </si>
  <si>
    <t>235</t>
  </si>
  <si>
    <t>Нехаевский сельсовет</t>
  </si>
  <si>
    <t>38634472</t>
  </si>
  <si>
    <t>236</t>
  </si>
  <si>
    <t>Никольниковский сельсовет</t>
  </si>
  <si>
    <t>38634476</t>
  </si>
  <si>
    <t>237</t>
  </si>
  <si>
    <t>Октябрьский сельсовет</t>
  </si>
  <si>
    <t>38634484</t>
  </si>
  <si>
    <t>238</t>
  </si>
  <si>
    <t>Пригородненский сельсовет</t>
  </si>
  <si>
    <t>38634488</t>
  </si>
  <si>
    <t>239</t>
  </si>
  <si>
    <t>240</t>
  </si>
  <si>
    <t>38634492</t>
  </si>
  <si>
    <t>241</t>
  </si>
  <si>
    <t>Щекинский сельсовет</t>
  </si>
  <si>
    <t>38634496</t>
  </si>
  <si>
    <t>242</t>
  </si>
  <si>
    <t>город Рыльск</t>
  </si>
  <si>
    <t>38634101</t>
  </si>
  <si>
    <t>243</t>
  </si>
  <si>
    <t>Советский муниципальный район</t>
  </si>
  <si>
    <t>38636000</t>
  </si>
  <si>
    <t>Александровский сельсовет</t>
  </si>
  <si>
    <t>38636404</t>
  </si>
  <si>
    <t>244</t>
  </si>
  <si>
    <t>Верхнерагозецкий сельсовет</t>
  </si>
  <si>
    <t>38636412</t>
  </si>
  <si>
    <t>245</t>
  </si>
  <si>
    <t>Волжанский сельсовет</t>
  </si>
  <si>
    <t>38636416</t>
  </si>
  <si>
    <t>246</t>
  </si>
  <si>
    <t>38636424</t>
  </si>
  <si>
    <t>247</t>
  </si>
  <si>
    <t>Ледовский сельсовет</t>
  </si>
  <si>
    <t>38636432</t>
  </si>
  <si>
    <t>248</t>
  </si>
  <si>
    <t>38636434</t>
  </si>
  <si>
    <t>249</t>
  </si>
  <si>
    <t>Мансуровский сельсовет</t>
  </si>
  <si>
    <t>38636436</t>
  </si>
  <si>
    <t>250</t>
  </si>
  <si>
    <t>Михайлоанненский сельсовет</t>
  </si>
  <si>
    <t>38636440</t>
  </si>
  <si>
    <t>251</t>
  </si>
  <si>
    <t>Нижнеграйворонский сельсовет</t>
  </si>
  <si>
    <t>38636448</t>
  </si>
  <si>
    <t>252</t>
  </si>
  <si>
    <t>253</t>
  </si>
  <si>
    <t>Советский сельсовет</t>
  </si>
  <si>
    <t>38636464</t>
  </si>
  <si>
    <t>254</t>
  </si>
  <si>
    <t>поселок Кшенский</t>
  </si>
  <si>
    <t>38636151</t>
  </si>
  <si>
    <t>255</t>
  </si>
  <si>
    <t>Солнцевский муниципальный район</t>
  </si>
  <si>
    <t>38638000</t>
  </si>
  <si>
    <t>Бунинский сельсовет</t>
  </si>
  <si>
    <t>38638408</t>
  </si>
  <si>
    <t>256</t>
  </si>
  <si>
    <t>Зуевский сельсовет</t>
  </si>
  <si>
    <t>38638428</t>
  </si>
  <si>
    <t>257</t>
  </si>
  <si>
    <t>38638432</t>
  </si>
  <si>
    <t>258</t>
  </si>
  <si>
    <t>259</t>
  </si>
  <si>
    <t>Старолещинский сельсовет</t>
  </si>
  <si>
    <t>38638448</t>
  </si>
  <si>
    <t>260</t>
  </si>
  <si>
    <t>Субботинский сельсовет</t>
  </si>
  <si>
    <t>38638452</t>
  </si>
  <si>
    <t>261</t>
  </si>
  <si>
    <t>38638460</t>
  </si>
  <si>
    <t>262</t>
  </si>
  <si>
    <t>поселок Солнцево</t>
  </si>
  <si>
    <t>38638151</t>
  </si>
  <si>
    <t>263</t>
  </si>
  <si>
    <t>Суджанский муниципальный район</t>
  </si>
  <si>
    <t>38640000</t>
  </si>
  <si>
    <t>Борковский сельсовет</t>
  </si>
  <si>
    <t>38640410</t>
  </si>
  <si>
    <t>264</t>
  </si>
  <si>
    <t>Воробжанский сельсовет</t>
  </si>
  <si>
    <t>38640415</t>
  </si>
  <si>
    <t>265</t>
  </si>
  <si>
    <t>Гончаровский сельсовет</t>
  </si>
  <si>
    <t>38640421</t>
  </si>
  <si>
    <t>266</t>
  </si>
  <si>
    <t>Гуевский сельсовет</t>
  </si>
  <si>
    <t>38640424</t>
  </si>
  <si>
    <t>267</t>
  </si>
  <si>
    <t>Замостянский сельсовет</t>
  </si>
  <si>
    <t>38640430</t>
  </si>
  <si>
    <t>268</t>
  </si>
  <si>
    <t>Заолешенский сельсовет</t>
  </si>
  <si>
    <t>38640433</t>
  </si>
  <si>
    <t>269</t>
  </si>
  <si>
    <t>Казачелокнянский сельсовет</t>
  </si>
  <si>
    <t>38640438</t>
  </si>
  <si>
    <t>270</t>
  </si>
  <si>
    <t>Малолокнянский сельсовет</t>
  </si>
  <si>
    <t>38640450</t>
  </si>
  <si>
    <t>271</t>
  </si>
  <si>
    <t>Мартыновский сельсовет</t>
  </si>
  <si>
    <t>38640453</t>
  </si>
  <si>
    <t>272</t>
  </si>
  <si>
    <t>Махновский сельсовет</t>
  </si>
  <si>
    <t>38640456</t>
  </si>
  <si>
    <t>273</t>
  </si>
  <si>
    <t>Новоивановский сельсовет</t>
  </si>
  <si>
    <t>38640463</t>
  </si>
  <si>
    <t>274</t>
  </si>
  <si>
    <t>Плеховский сельсовет</t>
  </si>
  <si>
    <t>38640466</t>
  </si>
  <si>
    <t>275</t>
  </si>
  <si>
    <t>Погребской сельсовет</t>
  </si>
  <si>
    <t>38640469</t>
  </si>
  <si>
    <t>276</t>
  </si>
  <si>
    <t>Пореченский сельсовет</t>
  </si>
  <si>
    <t>38640472</t>
  </si>
  <si>
    <t>277</t>
  </si>
  <si>
    <t>Свердликовский сельсовет</t>
  </si>
  <si>
    <t>38640474</t>
  </si>
  <si>
    <t>278</t>
  </si>
  <si>
    <t>279</t>
  </si>
  <si>
    <t>Уланковский сельсовет</t>
  </si>
  <si>
    <t>38640480</t>
  </si>
  <si>
    <t>280</t>
  </si>
  <si>
    <t>город Суджа</t>
  </si>
  <si>
    <t>38640101</t>
  </si>
  <si>
    <t>281</t>
  </si>
  <si>
    <t>Тимский муниципальный район</t>
  </si>
  <si>
    <t>38642000</t>
  </si>
  <si>
    <t>Барковский сельсовет</t>
  </si>
  <si>
    <t>38642401</t>
  </si>
  <si>
    <t>282</t>
  </si>
  <si>
    <t>Быстрецкий сельсовет</t>
  </si>
  <si>
    <t>38642402</t>
  </si>
  <si>
    <t>283</t>
  </si>
  <si>
    <t>Выгорновский сельсовет</t>
  </si>
  <si>
    <t>38642404</t>
  </si>
  <si>
    <t>284</t>
  </si>
  <si>
    <t>38642432</t>
  </si>
  <si>
    <t>285</t>
  </si>
  <si>
    <t>Погоженский сельсовет</t>
  </si>
  <si>
    <t>38642444</t>
  </si>
  <si>
    <t>286</t>
  </si>
  <si>
    <t>Становский сельсовет</t>
  </si>
  <si>
    <t>38642468</t>
  </si>
  <si>
    <t>287</t>
  </si>
  <si>
    <t>288</t>
  </si>
  <si>
    <t>Тимский сельсовет</t>
  </si>
  <si>
    <t>38642472</t>
  </si>
  <si>
    <t>289</t>
  </si>
  <si>
    <t>38642476</t>
  </si>
  <si>
    <t>290</t>
  </si>
  <si>
    <t>поселок Тим</t>
  </si>
  <si>
    <t>38642151</t>
  </si>
  <si>
    <t>291</t>
  </si>
  <si>
    <t>Фатежский муниципальный район</t>
  </si>
  <si>
    <t>38644000</t>
  </si>
  <si>
    <t>Банинский сельсовет</t>
  </si>
  <si>
    <t>38644402</t>
  </si>
  <si>
    <t>292</t>
  </si>
  <si>
    <t>Большеанненковский сельсовет</t>
  </si>
  <si>
    <t>38644408</t>
  </si>
  <si>
    <t>293</t>
  </si>
  <si>
    <t>Большежировский сельсовет</t>
  </si>
  <si>
    <t>38644412</t>
  </si>
  <si>
    <t>294</t>
  </si>
  <si>
    <t>Верхнелюбажский сельсовет</t>
  </si>
  <si>
    <t>38644416</t>
  </si>
  <si>
    <t>295</t>
  </si>
  <si>
    <t>Верхнехотемльский сельсовет</t>
  </si>
  <si>
    <t>38644420</t>
  </si>
  <si>
    <t>296</t>
  </si>
  <si>
    <t>Глебовский сельсовет</t>
  </si>
  <si>
    <t>38644424</t>
  </si>
  <si>
    <t>297</t>
  </si>
  <si>
    <t>Миленинский сельсовет</t>
  </si>
  <si>
    <t>38644444</t>
  </si>
  <si>
    <t>298</t>
  </si>
  <si>
    <t>Молотычевский сельсовет</t>
  </si>
  <si>
    <t>38644448</t>
  </si>
  <si>
    <t>299</t>
  </si>
  <si>
    <t>Русановский сельсовет</t>
  </si>
  <si>
    <t>38644464</t>
  </si>
  <si>
    <t>300</t>
  </si>
  <si>
    <t>38644468</t>
  </si>
  <si>
    <t>301</t>
  </si>
  <si>
    <t>302</t>
  </si>
  <si>
    <t>город Фатеж</t>
  </si>
  <si>
    <t>38644101</t>
  </si>
  <si>
    <t>303</t>
  </si>
  <si>
    <t>Хомутовский муниципальный район</t>
  </si>
  <si>
    <t>38646000</t>
  </si>
  <si>
    <t>Гламаздинский сельсовет</t>
  </si>
  <si>
    <t>38646412</t>
  </si>
  <si>
    <t>304</t>
  </si>
  <si>
    <t>Дубовицкий сельсовет</t>
  </si>
  <si>
    <t>38646416</t>
  </si>
  <si>
    <t>305</t>
  </si>
  <si>
    <t>Калиновский сельсовет</t>
  </si>
  <si>
    <t>38646420</t>
  </si>
  <si>
    <t>306</t>
  </si>
  <si>
    <t>Ольховский сельсовет</t>
  </si>
  <si>
    <t>38646448</t>
  </si>
  <si>
    <t>307</t>
  </si>
  <si>
    <t>Петровский сельсовет</t>
  </si>
  <si>
    <t>38646452</t>
  </si>
  <si>
    <t>308</t>
  </si>
  <si>
    <t>Романовский сельсовет</t>
  </si>
  <si>
    <t>38646464</t>
  </si>
  <si>
    <t>309</t>
  </si>
  <si>
    <t>Сальновский сельсовет</t>
  </si>
  <si>
    <t>38646468</t>
  </si>
  <si>
    <t>310</t>
  </si>
  <si>
    <t>Сковородневский сельсовет</t>
  </si>
  <si>
    <t>38646472</t>
  </si>
  <si>
    <t>311</t>
  </si>
  <si>
    <t>312</t>
  </si>
  <si>
    <t>поселок Хомутовка</t>
  </si>
  <si>
    <t>38646151</t>
  </si>
  <si>
    <t>313</t>
  </si>
  <si>
    <t>Черемисиновский муниципальный район</t>
  </si>
  <si>
    <t>38648000</t>
  </si>
  <si>
    <t>Краснополянский сельсовет</t>
  </si>
  <si>
    <t>38648406</t>
  </si>
  <si>
    <t>314</t>
  </si>
  <si>
    <t>38648412</t>
  </si>
  <si>
    <t>315</t>
  </si>
  <si>
    <t>Ниженский сельсовет</t>
  </si>
  <si>
    <t>38648416</t>
  </si>
  <si>
    <t>316</t>
  </si>
  <si>
    <t>38648427</t>
  </si>
  <si>
    <t>317</t>
  </si>
  <si>
    <t>Покровский сельсовет</t>
  </si>
  <si>
    <t>38648428</t>
  </si>
  <si>
    <t>318</t>
  </si>
  <si>
    <t>38648432</t>
  </si>
  <si>
    <t>319</t>
  </si>
  <si>
    <t>Стакановский сельсовет</t>
  </si>
  <si>
    <t>38648436</t>
  </si>
  <si>
    <t>320</t>
  </si>
  <si>
    <t>Удеревский сельсовет</t>
  </si>
  <si>
    <t>38648444</t>
  </si>
  <si>
    <t>321</t>
  </si>
  <si>
    <t>322</t>
  </si>
  <si>
    <t>поселок Черемисиново</t>
  </si>
  <si>
    <t>38648151</t>
  </si>
  <si>
    <t>323</t>
  </si>
  <si>
    <t>Щигровский муниципальный район</t>
  </si>
  <si>
    <t>38650000</t>
  </si>
  <si>
    <t>Большезмеинский сельсовет</t>
  </si>
  <si>
    <t>38650402</t>
  </si>
  <si>
    <t>324</t>
  </si>
  <si>
    <t>38650448</t>
  </si>
  <si>
    <t>325</t>
  </si>
  <si>
    <t>Вышнеольховатский сельсовет</t>
  </si>
  <si>
    <t>38650404</t>
  </si>
  <si>
    <t>326</t>
  </si>
  <si>
    <t>Вязовский сельсовет</t>
  </si>
  <si>
    <t>38650408</t>
  </si>
  <si>
    <t>327</t>
  </si>
  <si>
    <t>Защитенский сельсовет</t>
  </si>
  <si>
    <t>38650412</t>
  </si>
  <si>
    <t>328</t>
  </si>
  <si>
    <t>38650416</t>
  </si>
  <si>
    <t>329</t>
  </si>
  <si>
    <t>Касиновский сельсовет</t>
  </si>
  <si>
    <t>38650418</t>
  </si>
  <si>
    <t>330</t>
  </si>
  <si>
    <t>Косоржанский сельсовет</t>
  </si>
  <si>
    <t>38650420</t>
  </si>
  <si>
    <t>331</t>
  </si>
  <si>
    <t>Кривцовский сельсовет</t>
  </si>
  <si>
    <t>38650424</t>
  </si>
  <si>
    <t>332</t>
  </si>
  <si>
    <t>Крутовский сельсовет</t>
  </si>
  <si>
    <t>38650428</t>
  </si>
  <si>
    <t>333</t>
  </si>
  <si>
    <t>Мелехинский сельсовет</t>
  </si>
  <si>
    <t>38650432</t>
  </si>
  <si>
    <t>334</t>
  </si>
  <si>
    <t>38650436</t>
  </si>
  <si>
    <t>335</t>
  </si>
  <si>
    <t>Озерский сельсовет</t>
  </si>
  <si>
    <t>38650438</t>
  </si>
  <si>
    <t>336</t>
  </si>
  <si>
    <t>Охочевский сельсовет</t>
  </si>
  <si>
    <t>38650440</t>
  </si>
  <si>
    <t>337</t>
  </si>
  <si>
    <t>38650444</t>
  </si>
  <si>
    <t>338</t>
  </si>
  <si>
    <t>Теребужский сельсовет</t>
  </si>
  <si>
    <t>38650452</t>
  </si>
  <si>
    <t>339</t>
  </si>
  <si>
    <t>Титовский сельсовет</t>
  </si>
  <si>
    <t>38650456</t>
  </si>
  <si>
    <t>340</t>
  </si>
  <si>
    <t>Троицкокраснянский сельсовет</t>
  </si>
  <si>
    <t>38650460</t>
  </si>
  <si>
    <t>341</t>
  </si>
  <si>
    <t>342</t>
  </si>
  <si>
    <t>город Железногорск</t>
  </si>
  <si>
    <t>38705000</t>
  </si>
  <si>
    <t>городской округ</t>
  </si>
  <si>
    <t>343</t>
  </si>
  <si>
    <t>город Курчатов</t>
  </si>
  <si>
    <t>38708000</t>
  </si>
  <si>
    <t>345</t>
  </si>
  <si>
    <t>город Льгов</t>
  </si>
  <si>
    <t>38710000</t>
  </si>
  <si>
    <t>346</t>
  </si>
  <si>
    <t>город Щигры</t>
  </si>
  <si>
    <t>38715000</t>
  </si>
  <si>
    <t>347</t>
  </si>
  <si>
    <t>NUMBER_POINT</t>
  </si>
  <si>
    <t>INVP_NAME</t>
  </si>
  <si>
    <t>INVP_ID</t>
  </si>
  <si>
    <t>L_START_DATE</t>
  </si>
  <si>
    <t>L_END_DATE</t>
  </si>
  <si>
    <t>L_DECISION_NAME</t>
  </si>
  <si>
    <t>L_DECISION_TYPE</t>
  </si>
  <si>
    <t>L_DECISION_NMBR</t>
  </si>
  <si>
    <t>L_DECISION_DATE</t>
  </si>
  <si>
    <t>Инвестиционная программа № 109 от 30.05.2023 ООО"Теплосети п.Поныри" в сфере теплоснабжения по модернизации и реконструкции систем теплоснабжения, на территории городского поселения поселок Поныри, Поныровский муниципальный район на 2023-2026 годы</t>
  </si>
  <si>
    <t>30.05.2023</t>
  </si>
  <si>
    <t>31.12.2026</t>
  </si>
  <si>
    <t>Инвестиционная программа № 145 от 30.09.2025 МУП "ГОРТЕПЛОСЕТЬ" в сфере теплоснабжения по модернизации и реконструкции систем коммунальной инфраструктуры, на территории городского округа Курск на 2026-2028 годы</t>
  </si>
  <si>
    <t>01.01.2026</t>
  </si>
  <si>
    <t>31.12.2028</t>
  </si>
  <si>
    <t>Инвестиционная программа № 164 от 20.10.2025 АО "ГСР" в сфере теплоснабжения по модернизации и реконструкции систем коммунальной инфраструктуры, на территории муниципального района Курский на 2026-2030 годы</t>
  </si>
  <si>
    <t>31.12.2030</t>
  </si>
  <si>
    <t>Инвестиционная программа № 196 от 25.10.2023 МУП "Городские тепловые сети" МО "город Курчатов" в сфере теплоснабжения по реконструкции тепловых сетей, на территории городского округа Курчатов на 2024-2028 годы</t>
  </si>
  <si>
    <t>01.01.2024</t>
  </si>
  <si>
    <t>Инвестиционная программа № 49 от 27.03.2023 МУП "Гортеплосеть" в сфере теплоснабжения по модернизации объектов, на территории городского округа Курск на 2023-2025 годы</t>
  </si>
  <si>
    <t>27.03.2023</t>
  </si>
  <si>
    <t>31.12.2025</t>
  </si>
  <si>
    <t>Инвестиционная программа от 02.08.2022 МУП "Гортеплосеть" города Железногорска в сфере теплоснабжения по модернизации тепловых сетей, на территории городского округа Железногорск на 2023-2026 годы</t>
  </si>
  <si>
    <t>01.01.2023</t>
  </si>
  <si>
    <t>Инвестиционная программа от 25.06.2021 ООО "Обоянские Коммунальные Тепловые Сети" в сфере теплоснабжения и горячего водоснабжения по развитию и модернизации централизованных систем теплоснабжения, на территории городского поселения город Обоянь, Обоянский муниципальный район на 2021-2025 годы</t>
  </si>
  <si>
    <t>25.06.2021</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</si>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</sst>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320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179"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22" fillId="35" borderId="12" xfId="0" applyFont="1" applyFill="1" applyBorder="1">
      <alignment horizontal="left" vertical="top" wrapText="1"/>
    </xf>
    <xf numFmtId="49" fontId="0" fillId="35" borderId="12" xfId="0" applyFont="1" applyFill="1" applyBorder="1" applyNumberFormat="1">
      <alignment horizontal="left" vertical="top"/>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https://kurskpravo.ru/accepted-npa-prewev/2528" TargetMode="External"/><Relationship Id="rId5" Type="http://schemas.openxmlformats.org/officeDocument/2006/relationships/hyperlink" Target="mailto:aturavinina@keaz.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337188-EEC6-7728-E18C-68D08DB4B1CA}"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6B315C-CC97-2858-F5A8-0A273497899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87</v>
      </c>
      <c r="H1" s="489" t="s">
        <v>88</v>
      </c>
      <c r="I1" s="489" t="s">
        <v>89</v>
      </c>
      <c r="P1" s="489" t="s">
        <v>87</v>
      </c>
      <c r="Q1" s="489" t="s">
        <v>88</v>
      </c>
      <c r="R1" s="489" t="s">
        <v>89</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396</v>
      </c>
      <c r="F4" s="2238"/>
      <c r="G4" s="2239"/>
      <c r="H4" s="2239"/>
      <c r="I4" s="2240"/>
      <c r="J4" s="491"/>
      <c r="K4" s="453"/>
      <c r="L4" s="453"/>
      <c r="W4" s="447">
        <v>22</v>
      </c>
    </row>
    <row s="1635" customFormat="1" customHeight="1" ht="18">
      <c r="A5" s="759"/>
      <c r="D5" s="822"/>
      <c r="E5" s="2214" t="str">
        <f>IF(org=0,"Не определено",org)</f>
        <v>ООО "Энерго-Сервис"</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308</v>
      </c>
      <c r="F7" s="2208"/>
      <c r="G7" s="2209"/>
      <c r="H7" s="2209"/>
      <c r="I7" s="2209"/>
      <c r="J7" s="2209"/>
      <c r="K7" s="2209"/>
      <c r="L7" s="2223" t="s">
        <v>309</v>
      </c>
      <c r="W7" s="447">
        <v>14</v>
      </c>
    </row>
    <row customHeight="1" ht="48.29999999999999">
      <c r="D8" s="450"/>
      <c r="E8" s="473" t="s">
        <v>92</v>
      </c>
      <c r="F8" s="823"/>
      <c r="G8" s="465" t="s">
        <v>90</v>
      </c>
      <c r="H8" s="465" t="s">
        <v>91</v>
      </c>
      <c r="I8" s="414" t="s">
        <v>89</v>
      </c>
      <c r="J8" s="414" t="s">
        <v>397</v>
      </c>
      <c r="K8" s="414" t="s">
        <v>398</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399</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70</v>
      </c>
      <c r="K12" s="1164" t="s">
        <v>28</v>
      </c>
      <c r="L12" s="2241"/>
      <c r="M12" s="511"/>
      <c r="N12" s="511"/>
      <c r="O12" s="511"/>
      <c r="P12" s="516" t="s">
        <v>400</v>
      </c>
      <c r="Q12" s="516" t="s">
        <v>401</v>
      </c>
      <c r="R12" s="517" t="s">
        <v>402</v>
      </c>
      <c r="S12" s="511" t="s">
        <v>403</v>
      </c>
      <c r="T12" s="511"/>
      <c r="U12" s="511"/>
      <c r="V12" s="511"/>
      <c r="W12" s="480">
        <v>14</v>
      </c>
    </row>
    <row customHeight="1" ht="15.75">
      <c r="A13" s="2099"/>
      <c r="B13" s="505"/>
      <c r="D13" s="506"/>
      <c r="E13" s="405"/>
      <c r="F13" s="529"/>
      <c r="G13" s="416" t="s">
        <v>106</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86</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C9CEEF-4E18-3B84-D2D8-566FF6651BA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127</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404</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405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406</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407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408</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409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410</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411</v>
      </c>
      <c r="M6" s="537"/>
      <c r="P6" s="2257">
        <v>1</v>
      </c>
      <c r="Q6" s="1305"/>
      <c r="R6" s="356"/>
      <c r="S6" s="1309">
        <f>$I6</f>
      </c>
      <c r="T6" s="285" t="s">
        <v>412</v>
      </c>
      <c r="U6" s="300"/>
      <c r="V6" s="2245"/>
      <c r="W6" s="2246"/>
      <c r="X6" s="2246"/>
      <c r="Y6" s="2246"/>
      <c r="Z6" s="2246"/>
      <c r="AA6" s="2246"/>
      <c r="AB6" s="2246"/>
      <c r="AC6" s="2247"/>
      <c r="AD6" s="2245"/>
      <c r="AE6" s="2246"/>
      <c r="AF6" s="2246"/>
      <c r="AG6" s="2246"/>
      <c r="AH6" s="2246"/>
      <c r="AI6" s="2246"/>
      <c r="AJ6" s="2246"/>
      <c r="AK6" s="2246"/>
      <c r="AL6" s="2247"/>
      <c r="AM6" s="1258" t="s">
        <v>413</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414</v>
      </c>
      <c r="M7" s="537"/>
      <c r="N7" s="1366"/>
      <c r="P7" s="2257"/>
      <c r="Q7" s="2257">
        <v>1</v>
      </c>
      <c r="R7" s="357"/>
      <c r="S7" s="1309">
        <f>$J7</f>
      </c>
      <c r="T7" s="286" t="s">
        <v>415</v>
      </c>
      <c r="U7" s="300"/>
      <c r="V7" s="2245"/>
      <c r="W7" s="2246"/>
      <c r="X7" s="2246"/>
      <c r="Y7" s="2246"/>
      <c r="Z7" s="2246"/>
      <c r="AA7" s="2246"/>
      <c r="AB7" s="2246"/>
      <c r="AC7" s="2247"/>
      <c r="AD7" s="2245"/>
      <c r="AE7" s="2246"/>
      <c r="AF7" s="2246"/>
      <c r="AG7" s="2246"/>
      <c r="AH7" s="2246"/>
      <c r="AI7" s="2246"/>
      <c r="AJ7" s="2246"/>
      <c r="AK7" s="2246"/>
      <c r="AL7" s="2247"/>
      <c r="AM7" s="1258" t="s">
        <v>416</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417</v>
      </c>
      <c r="M8" s="537"/>
      <c r="N8" s="1366"/>
      <c r="O8" s="1366"/>
      <c r="P8" s="2257"/>
      <c r="Q8" s="2257"/>
      <c r="R8" s="357">
        <v>1</v>
      </c>
      <c r="S8" s="1309">
        <f>$K8</f>
      </c>
      <c r="T8" s="1347"/>
      <c r="U8" s="300"/>
      <c r="V8" s="751"/>
      <c r="W8" s="325"/>
      <c r="X8" s="751"/>
      <c r="Y8" s="1257"/>
      <c r="Z8" s="2265"/>
      <c r="AA8" s="2107" t="s">
        <v>70</v>
      </c>
      <c r="AB8" s="2265"/>
      <c r="AC8" s="2107" t="s">
        <v>70</v>
      </c>
      <c r="AD8" s="751"/>
      <c r="AE8" s="325"/>
      <c r="AF8" s="751"/>
      <c r="AG8" s="1257"/>
      <c r="AH8" s="2265"/>
      <c r="AI8" s="2107" t="s">
        <v>70</v>
      </c>
      <c r="AJ8" s="2265"/>
      <c r="AK8" s="2107" t="s">
        <v>70</v>
      </c>
      <c r="AL8" s="325"/>
      <c r="AM8" s="2253" t="s">
        <v>418</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419</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420</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421</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172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173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174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70</v>
      </c>
      <c r="AJ17" s="2267"/>
      <c r="AK17" s="2268" t="s">
        <v>70</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422</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423</v>
      </c>
      <c r="P22" s="1362"/>
      <c r="Q22" s="1371"/>
      <c r="R22" s="1371"/>
      <c r="S22" s="729"/>
      <c r="T22" s="1160" t="s">
        <v>424</v>
      </c>
      <c r="AA22" s="186" t="s">
        <v>425</v>
      </c>
      <c r="AC22" s="186" t="s">
        <v>426</v>
      </c>
      <c r="AD22" s="1160" t="s">
        <v>424</v>
      </c>
      <c r="AI22" s="186" t="s">
        <v>427</v>
      </c>
      <c r="AK22" s="186" t="s">
        <v>426</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ООО "Энерго-Сервис"</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Комитет по тарифам и ценам Курской области</v>
      </c>
      <c r="W29" s="2251"/>
      <c r="X29" s="2251"/>
      <c r="Y29" s="2251"/>
      <c r="Z29" s="2251"/>
      <c r="AA29" s="2251"/>
      <c r="AB29" s="2251"/>
      <c r="AC29" s="326"/>
      <c r="AD29" s="2251" t="str">
        <f>IF(TITLE_NAME_OR_PR_CHANGE="",IF(TITLE_NAME_OR_PR="","",TITLE_NAME_OR_PR),TITLE_NAME_OR_PR_CHANGE)</f>
        <v>Комитет по тарифам и ценам Курской области</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428</v>
      </c>
      <c r="T30" s="2250"/>
      <c r="U30" s="1372"/>
      <c r="V30" s="2264" t="str">
        <f>IF(TITLE_DATE_PR_CHANGE="",IF(TITLE_DATE_PR="","",TITLE_DATE_PR),TITLE_DATE_PR_CHANGE)</f>
        <v>46010</v>
      </c>
      <c r="W30" s="2264"/>
      <c r="X30" s="2264"/>
      <c r="Y30" s="2264"/>
      <c r="Z30" s="2264"/>
      <c r="AA30" s="2264"/>
      <c r="AB30" s="2264"/>
      <c r="AC30" s="326"/>
      <c r="AD30" s="2264" t="str">
        <f>IF(TITLE_DATE_PR_CHANGE="",IF(TITLE_DATE_PR="","",TITLE_DATE_PR),TITLE_DATE_PR_CHANGE)</f>
        <v>46010</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429</v>
      </c>
      <c r="T31" s="2250"/>
      <c r="U31" s="1372"/>
      <c r="V31" s="2251" t="str">
        <f>IF(TITLE_NUMBER_PR_CHANGE="",IF(TITLE_NUMBER_PR="","",TITLE_NUMBER_PR),TITLE_NUMBER_PR_CHANGE)</f>
        <v>66</v>
      </c>
      <c r="W31" s="2251"/>
      <c r="X31" s="2251"/>
      <c r="Y31" s="2251"/>
      <c r="Z31" s="2251"/>
      <c r="AA31" s="2251"/>
      <c r="AB31" s="2251"/>
      <c r="AC31" s="326"/>
      <c r="AD31" s="2251" t="str">
        <f>IF(TITLE_NUMBER_PR_CHANGE="",IF(TITLE_NUMBER_PR="","",TITLE_NUMBER_PR),TITLE_NUMBER_PR_CHANGE)</f>
        <v>66</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https://kurskpravo.ru/accepted-npa-prewev/2528</v>
      </c>
      <c r="W32" s="2251"/>
      <c r="X32" s="2251"/>
      <c r="Y32" s="2251"/>
      <c r="Z32" s="2251"/>
      <c r="AA32" s="2251"/>
      <c r="AB32" s="2251"/>
      <c r="AC32" s="326"/>
      <c r="AD32" s="2251" t="str">
        <f>IF(TITLE_IST_PUB_CHANGE="",IF(TITLE_IST_PUB="","",TITLE_IST_PUB),TITLE_IST_PUB_CHANGE)</f>
        <v>https://kurskpravo.ru/accepted-npa-prewev/2528</v>
      </c>
      <c r="AE32" s="2251"/>
      <c r="AF32" s="2251"/>
      <c r="AG32" s="2251"/>
      <c r="AH32" s="2251"/>
      <c r="AI32" s="2251"/>
      <c r="AJ32" s="2251"/>
      <c r="AK32" s="326"/>
      <c r="AL32" s="326"/>
      <c r="AM32" s="280"/>
      <c r="AN32" s="368"/>
      <c r="AO32" s="368"/>
      <c r="AP32" s="368"/>
      <c r="AQ32" s="368"/>
      <c r="AR32" s="368"/>
      <c r="AS32" s="418">
        <v>0</v>
      </c>
    </row>
    <row customHeight="1" ht="14.25" hidden="1">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430</v>
      </c>
      <c r="T34" s="2250"/>
      <c r="U34" s="1372"/>
      <c r="V34" s="2264" t="str">
        <f>IF(TITLE_DATE_PR_CHANGE="",IF(TITLE_DATE_PR="","",TITLE_DATE_PR),TITLE_DATE_PR_CHANGE)</f>
        <v>46010</v>
      </c>
      <c r="W34" s="2264"/>
      <c r="X34" s="2264"/>
      <c r="Y34" s="2264"/>
      <c r="Z34" s="2264"/>
      <c r="AA34" s="2264"/>
      <c r="AB34" s="2264"/>
      <c r="AC34" s="326"/>
      <c r="AD34" s="2264" t="str">
        <f>IF(TITLE_DATE_PR_CHANGE="",IF(TITLE_DATE_PR="","",TITLE_DATE_PR),TITLE_DATE_PR_CHANGE)</f>
        <v>46010</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431</v>
      </c>
      <c r="T35" s="2250"/>
      <c r="U35" s="1372"/>
      <c r="V35" s="2251" t="str">
        <f>IF(TITLE_NUMBER_PR_CHANGE="",IF(TITLE_NUMBER_PR="","",TITLE_NUMBER_PR),TITLE_NUMBER_PR_CHANGE)</f>
        <v>66</v>
      </c>
      <c r="W35" s="2251"/>
      <c r="X35" s="2251"/>
      <c r="Y35" s="2251"/>
      <c r="Z35" s="2251"/>
      <c r="AA35" s="2251"/>
      <c r="AB35" s="2251"/>
      <c r="AC35" s="326"/>
      <c r="AD35" s="2251" t="str">
        <f>IF(TITLE_NUMBER_PR_CHANGE="",IF(TITLE_NUMBER_PR="","",TITLE_NUMBER_PR),TITLE_NUMBER_PR_CHANGE)</f>
        <v>66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432</v>
      </c>
      <c r="AD36" s="326"/>
      <c r="AE36" s="326"/>
      <c r="AF36" s="326"/>
      <c r="AG36" s="326"/>
      <c r="AH36" s="326"/>
      <c r="AI36" s="326"/>
      <c r="AJ36" s="326"/>
      <c r="AK36" s="278" t="s">
        <v>432</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309</v>
      </c>
      <c r="AS38" s="1155">
        <v>14</v>
      </c>
    </row>
    <row customHeight="1" ht="14.699999999999998">
      <c r="Q39" s="376"/>
      <c r="R39" s="376"/>
      <c r="S39" s="2273" t="s">
        <v>92</v>
      </c>
      <c r="T39" s="2209" t="s">
        <v>433</v>
      </c>
      <c r="U39" s="301"/>
      <c r="V39" s="2274" t="s">
        <v>434</v>
      </c>
      <c r="W39" s="2275"/>
      <c r="X39" s="2275"/>
      <c r="Y39" s="2275"/>
      <c r="Z39" s="2275"/>
      <c r="AA39" s="2275"/>
      <c r="AB39" s="2276"/>
      <c r="AC39" s="2277" t="s">
        <v>435</v>
      </c>
      <c r="AD39" s="2274" t="s">
        <v>434</v>
      </c>
      <c r="AE39" s="2275"/>
      <c r="AF39" s="2275"/>
      <c r="AG39" s="2275"/>
      <c r="AH39" s="2275"/>
      <c r="AI39" s="2275"/>
      <c r="AJ39" s="2276"/>
      <c r="AK39" s="2277" t="s">
        <v>436</v>
      </c>
      <c r="AL39" s="2280" t="s">
        <v>437</v>
      </c>
      <c r="AM39" s="2127"/>
      <c r="AS39" s="1155">
        <v>14</v>
      </c>
    </row>
    <row customHeight="1" ht="35.699999999999996">
      <c r="Q40" s="376"/>
      <c r="R40" s="376"/>
      <c r="S40" s="2273"/>
      <c r="T40" s="2209"/>
      <c r="U40" s="1031"/>
      <c r="V40" s="2260" t="s">
        <v>438</v>
      </c>
      <c r="W40" s="2610" t="s">
        <v>439</v>
      </c>
      <c r="X40" s="2262" t="s">
        <v>440</v>
      </c>
      <c r="Y40" s="2263"/>
      <c r="Z40" s="2262" t="s">
        <v>441</v>
      </c>
      <c r="AA40" s="2269"/>
      <c r="AB40" s="2263"/>
      <c r="AC40" s="2278"/>
      <c r="AD40" s="2260" t="s">
        <v>438</v>
      </c>
      <c r="AE40" s="2283" t="s">
        <v>439</v>
      </c>
      <c r="AF40" s="2262" t="s">
        <v>440</v>
      </c>
      <c r="AG40" s="2263"/>
      <c r="AH40" s="2262" t="s">
        <v>441</v>
      </c>
      <c r="AI40" s="2269"/>
      <c r="AJ40" s="2263"/>
      <c r="AK40" s="2278"/>
      <c r="AL40" s="2281"/>
      <c r="AM40" s="2127"/>
      <c r="AS40" s="1155">
        <v>34</v>
      </c>
    </row>
    <row customHeight="1" ht="35.699999999999996">
      <c r="A41" s="1370"/>
      <c r="B41" s="1370" t="s">
        <v>139</v>
      </c>
      <c r="C41" s="1370" t="s">
        <v>140</v>
      </c>
      <c r="D41" s="1370" t="s">
        <v>141</v>
      </c>
      <c r="E41" s="1364" t="s">
        <v>442</v>
      </c>
      <c r="F41" s="1364" t="s">
        <v>443</v>
      </c>
      <c r="G41" s="1364" t="s">
        <v>444</v>
      </c>
      <c r="H41" s="1364" t="s">
        <v>445</v>
      </c>
      <c r="I41" s="1364" t="s">
        <v>446</v>
      </c>
      <c r="J41" s="1364" t="s">
        <v>447</v>
      </c>
      <c r="K41" s="1364" t="s">
        <v>448</v>
      </c>
      <c r="L41" s="1364" t="s">
        <v>423</v>
      </c>
      <c r="Q41" s="376"/>
      <c r="R41" s="376"/>
      <c r="S41" s="2273"/>
      <c r="T41" s="2209"/>
      <c r="U41" s="302"/>
      <c r="V41" s="2261"/>
      <c r="W41" s="2284"/>
      <c r="X41" s="1222" t="s">
        <v>449</v>
      </c>
      <c r="Y41" s="1222" t="s">
        <v>450</v>
      </c>
      <c r="Z41" s="1221" t="s">
        <v>451</v>
      </c>
      <c r="AA41" s="2270" t="s">
        <v>452</v>
      </c>
      <c r="AB41" s="2271"/>
      <c r="AC41" s="2279"/>
      <c r="AD41" s="2261"/>
      <c r="AE41" s="2284"/>
      <c r="AF41" s="1222" t="s">
        <v>449</v>
      </c>
      <c r="AG41" s="1222" t="s">
        <v>450</v>
      </c>
      <c r="AH41" s="1313" t="s">
        <v>451</v>
      </c>
      <c r="AI41" s="2270" t="s">
        <v>452</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113</v>
      </c>
      <c r="T42" s="1255" t="s">
        <v>114</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160</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127</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23</v>
      </c>
    </row>
    <row customHeight="1" ht="24">
      <c r="A44" s="1363" t="s">
        <v>160</v>
      </c>
      <c r="B44" s="1363" t="s">
        <v>161</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405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406</v>
      </c>
      <c r="AO44" s="500"/>
      <c r="AP44" s="500" t="str">
        <f>IF(T44="","",T44)</f>
        <v>Территория действия тарифа</v>
      </c>
      <c r="AQ44" s="500"/>
      <c r="AR44" s="500"/>
      <c r="AS44" s="1155">
        <v>23</v>
      </c>
    </row>
    <row customHeight="1" ht="24">
      <c r="A45" s="1363" t="s">
        <v>160</v>
      </c>
      <c r="B45" s="1363" t="s">
        <v>161</v>
      </c>
      <c r="C45" s="1363" t="s">
        <v>162</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407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408</v>
      </c>
      <c r="AO45" s="500"/>
      <c r="AP45" s="500" t="str">
        <f>IF(T45="","",T45)</f>
        <v>Наименование системы теплоснабжения </v>
      </c>
      <c r="AQ45" s="500"/>
      <c r="AR45" s="500"/>
      <c r="AS45" s="1155">
        <v>23</v>
      </c>
    </row>
    <row customHeight="1" ht="24">
      <c r="A46" s="1363" t="s">
        <v>160</v>
      </c>
      <c r="B46" s="1363" t="s">
        <v>161</v>
      </c>
      <c r="C46" s="1363" t="s">
        <v>162</v>
      </c>
      <c r="D46" s="1363" t="s">
        <v>163</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409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410</v>
      </c>
      <c r="AO46" s="500"/>
      <c r="AP46" s="500" t="str">
        <f>IF(T46="","",T46)</f>
        <v>Источник тепловой энергии  </v>
      </c>
      <c r="AQ46" s="500"/>
      <c r="AR46" s="500"/>
      <c r="AS46" s="1155">
        <v>23</v>
      </c>
    </row>
    <row customHeight="1" ht="49.5">
      <c r="A47" s="1363" t="s">
        <v>160</v>
      </c>
      <c r="B47" s="1363" t="s">
        <v>161</v>
      </c>
      <c r="C47" s="1363" t="s">
        <v>162</v>
      </c>
      <c r="D47" s="1363" t="s">
        <v>163</v>
      </c>
      <c r="E47" s="2259"/>
      <c r="F47" s="2259"/>
      <c r="G47" s="2259"/>
      <c r="H47" s="2259"/>
      <c r="I47" s="2256" t="str">
        <f>S46&amp;".1"</f>
        <v>....1</v>
      </c>
      <c r="J47" s="1363"/>
      <c r="K47" s="1363"/>
      <c r="L47" s="1364" t="s">
        <v>411</v>
      </c>
      <c r="P47" s="2257">
        <v>1</v>
      </c>
      <c r="Q47" s="1220"/>
      <c r="R47" s="356"/>
      <c r="S47" s="1224" t="str">
        <f>$I47</f>
        <v>....1</v>
      </c>
      <c r="T47" s="285" t="s">
        <v>412</v>
      </c>
      <c r="U47" s="300"/>
      <c r="V47" s="2245"/>
      <c r="W47" s="2246"/>
      <c r="X47" s="2246"/>
      <c r="Y47" s="2246"/>
      <c r="Z47" s="2246"/>
      <c r="AA47" s="2246"/>
      <c r="AB47" s="2246"/>
      <c r="AC47" s="2247"/>
      <c r="AD47" s="2245"/>
      <c r="AE47" s="2246"/>
      <c r="AF47" s="2246"/>
      <c r="AG47" s="2246"/>
      <c r="AH47" s="2246"/>
      <c r="AI47" s="2246"/>
      <c r="AJ47" s="2246"/>
      <c r="AK47" s="2246"/>
      <c r="AL47" s="2247"/>
      <c r="AM47" s="1258" t="s">
        <v>413</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160</v>
      </c>
      <c r="B48" s="1363" t="s">
        <v>161</v>
      </c>
      <c r="C48" s="1363" t="s">
        <v>162</v>
      </c>
      <c r="D48" s="1363" t="s">
        <v>163</v>
      </c>
      <c r="E48" s="2259"/>
      <c r="F48" s="2259"/>
      <c r="G48" s="2259"/>
      <c r="H48" s="2259"/>
      <c r="I48" s="2286"/>
      <c r="J48" s="2256" t="str">
        <f>I47&amp;".1"</f>
        <v>....1.1</v>
      </c>
      <c r="K48" s="1363"/>
      <c r="L48" s="1364" t="s">
        <v>414</v>
      </c>
      <c r="P48" s="2257"/>
      <c r="Q48" s="2257">
        <v>1</v>
      </c>
      <c r="R48" s="357"/>
      <c r="S48" s="1224" t="str">
        <f>$J48</f>
        <v>....1.1</v>
      </c>
      <c r="T48" s="286" t="s">
        <v>415</v>
      </c>
      <c r="U48" s="300"/>
      <c r="V48" s="2245"/>
      <c r="W48" s="2246"/>
      <c r="X48" s="2246"/>
      <c r="Y48" s="2246"/>
      <c r="Z48" s="2246"/>
      <c r="AA48" s="2246"/>
      <c r="AB48" s="2246"/>
      <c r="AC48" s="2247"/>
      <c r="AD48" s="2245"/>
      <c r="AE48" s="2246"/>
      <c r="AF48" s="2246"/>
      <c r="AG48" s="2246"/>
      <c r="AH48" s="2246"/>
      <c r="AI48" s="2246"/>
      <c r="AJ48" s="2246"/>
      <c r="AK48" s="2246"/>
      <c r="AL48" s="2247"/>
      <c r="AM48" s="1258" t="s">
        <v>416</v>
      </c>
      <c r="AO48" s="500"/>
      <c r="AP48" s="500" t="str">
        <f>IF(T48="","",T48)</f>
        <v>Группа потребителей</v>
      </c>
      <c r="AQ48" s="500"/>
      <c r="AR48" s="500"/>
      <c r="AS48" s="1155">
        <v>23</v>
      </c>
    </row>
    <row customHeight="1" ht="24">
      <c r="A49" s="1363" t="s">
        <v>160</v>
      </c>
      <c r="B49" s="1363" t="s">
        <v>161</v>
      </c>
      <c r="C49" s="1363" t="s">
        <v>162</v>
      </c>
      <c r="D49" s="1363" t="s">
        <v>163</v>
      </c>
      <c r="E49" s="2259"/>
      <c r="F49" s="2259"/>
      <c r="G49" s="2259"/>
      <c r="H49" s="2259"/>
      <c r="I49" s="2286"/>
      <c r="J49" s="2286"/>
      <c r="K49" s="2256" t="str">
        <f>J48&amp;".1"</f>
        <v>....1.1.1</v>
      </c>
      <c r="L49" s="1364" t="s">
        <v>417</v>
      </c>
      <c r="P49" s="2257"/>
      <c r="Q49" s="2257"/>
      <c r="R49" s="357">
        <v>1</v>
      </c>
      <c r="S49" s="1224" t="str">
        <f>$K49</f>
        <v>....1.1.1</v>
      </c>
      <c r="T49" s="1347"/>
      <c r="U49" s="300"/>
      <c r="V49" s="751"/>
      <c r="W49" s="325"/>
      <c r="X49" s="751"/>
      <c r="Y49" s="1257"/>
      <c r="Z49" s="2265"/>
      <c r="AA49" s="2107" t="s">
        <v>70</v>
      </c>
      <c r="AB49" s="2265"/>
      <c r="AC49" s="2107" t="s">
        <v>70</v>
      </c>
      <c r="AD49" s="751"/>
      <c r="AE49" s="325"/>
      <c r="AF49" s="751"/>
      <c r="AG49" s="1257"/>
      <c r="AH49" s="2265"/>
      <c r="AI49" s="2107" t="s">
        <v>70</v>
      </c>
      <c r="AJ49" s="2287"/>
      <c r="AK49" s="2107" t="s">
        <v>70</v>
      </c>
      <c r="AL49" s="1348"/>
      <c r="AM49" s="2253" t="s">
        <v>418</v>
      </c>
      <c r="AN49" s="511">
        <f>STRCHECKDATE(V50:AL50)</f>
      </c>
      <c r="AO49" s="500"/>
      <c r="AP49" s="500" t="str">
        <f>IF(T49="","",T49)</f>
        <v/>
      </c>
      <c r="AQ49" s="500"/>
      <c r="AR49" s="500"/>
      <c r="AS49" s="1155">
        <v>23</v>
      </c>
    </row>
    <row customHeight="1" ht="1.05">
      <c r="A50" s="1363" t="s">
        <v>160</v>
      </c>
      <c r="B50" s="1363" t="s">
        <v>161</v>
      </c>
      <c r="C50" s="1363" t="s">
        <v>162</v>
      </c>
      <c r="D50" s="1363" t="s">
        <v>163</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160</v>
      </c>
      <c r="B51" s="1363" t="s">
        <v>161</v>
      </c>
      <c r="C51" s="1363" t="s">
        <v>162</v>
      </c>
      <c r="D51" s="1363" t="s">
        <v>163</v>
      </c>
      <c r="E51" s="2259"/>
      <c r="F51" s="2259"/>
      <c r="G51" s="2259"/>
      <c r="H51" s="2259"/>
      <c r="I51" s="2286"/>
      <c r="J51" s="2256"/>
      <c r="K51" s="1363"/>
      <c r="L51" s="1364"/>
      <c r="P51" s="2257"/>
      <c r="Q51" s="2257"/>
      <c r="R51" s="356"/>
      <c r="S51" s="1278"/>
      <c r="T51" s="288" t="s">
        <v>419</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160</v>
      </c>
      <c r="B52" s="1363" t="s">
        <v>161</v>
      </c>
      <c r="C52" s="1363" t="s">
        <v>162</v>
      </c>
      <c r="D52" s="1363" t="s">
        <v>163</v>
      </c>
      <c r="E52" s="2259"/>
      <c r="F52" s="2259"/>
      <c r="G52" s="2259"/>
      <c r="H52" s="2259"/>
      <c r="I52" s="2256"/>
      <c r="J52" s="1363"/>
      <c r="K52" s="1363"/>
      <c r="L52" s="1364"/>
      <c r="P52" s="2257"/>
      <c r="Q52" s="1220"/>
      <c r="R52" s="356"/>
      <c r="S52" s="1278"/>
      <c r="T52" s="287" t="s">
        <v>420</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160</v>
      </c>
      <c r="B53" s="1363" t="s">
        <v>161</v>
      </c>
      <c r="C53" s="1363" t="s">
        <v>162</v>
      </c>
      <c r="D53" s="1363" t="s">
        <v>163</v>
      </c>
      <c r="E53" s="2259"/>
      <c r="F53" s="2259"/>
      <c r="G53" s="2259"/>
      <c r="H53" s="2258"/>
      <c r="I53" s="1363"/>
      <c r="J53" s="1363"/>
      <c r="K53" s="1363"/>
      <c r="L53" s="1364"/>
      <c r="M53" s="1365"/>
      <c r="N53" s="1365"/>
      <c r="O53" s="537"/>
      <c r="P53" s="360"/>
      <c r="Q53" s="375"/>
      <c r="R53" s="355"/>
      <c r="S53" s="1278"/>
      <c r="T53" s="365" t="s">
        <v>421</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160</v>
      </c>
      <c r="B54" s="1343" t="s">
        <v>161</v>
      </c>
      <c r="C54" s="1343" t="s">
        <v>162</v>
      </c>
      <c r="D54" s="1314"/>
      <c r="E54" s="2259"/>
      <c r="F54" s="2259"/>
      <c r="G54" s="2258"/>
      <c r="H54" s="1314"/>
      <c r="I54" s="1314"/>
      <c r="J54" s="1314"/>
      <c r="K54" s="1314"/>
      <c r="L54" s="1339"/>
      <c r="M54" s="1315"/>
      <c r="N54" s="1315"/>
      <c r="P54" s="1316"/>
      <c r="Q54" s="1317"/>
      <c r="R54" s="1316"/>
      <c r="S54" s="1322"/>
      <c r="T54" s="1325" t="s">
        <v>172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160</v>
      </c>
      <c r="B55" s="1343" t="s">
        <v>161</v>
      </c>
      <c r="C55" s="1314"/>
      <c r="D55" s="1314"/>
      <c r="E55" s="2259"/>
      <c r="F55" s="2258"/>
      <c r="G55" s="1314"/>
      <c r="H55" s="1314"/>
      <c r="I55" s="1314"/>
      <c r="J55" s="1314"/>
      <c r="K55" s="1314"/>
      <c r="L55" s="1339"/>
      <c r="M55" s="1321"/>
      <c r="N55" s="1321"/>
      <c r="P55" s="1316"/>
      <c r="Q55" s="1317"/>
      <c r="R55" s="1316"/>
      <c r="S55" s="1322"/>
      <c r="T55" s="1325" t="s">
        <v>173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160</v>
      </c>
      <c r="B56" s="1343"/>
      <c r="C56" s="1343"/>
      <c r="D56" s="1343"/>
      <c r="E56" s="2258"/>
      <c r="F56" s="1343"/>
      <c r="G56" s="1343"/>
      <c r="H56" s="1343"/>
      <c r="I56" s="1343"/>
      <c r="J56" s="1343"/>
      <c r="K56" s="1343"/>
      <c r="L56" s="1346"/>
      <c r="M56" s="1321"/>
      <c r="N56" s="1321"/>
      <c r="O56" s="518"/>
      <c r="P56" s="380"/>
      <c r="Q56" s="1344"/>
      <c r="R56" s="380"/>
      <c r="S56" s="1322"/>
      <c r="T56" s="1325" t="s">
        <v>174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175</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86</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1448D8-1115-EF91-D45E-CB2201C2308B}" mc:Ignorable="x14ac xr xr2 xr3">
  <sheetPr>
    <tabColor theme="6" tint="0.4"/>
  </sheetPr>
  <dimension ref="A1:EC65"/>
  <sheetViews>
    <sheetView showGridLines="0" zoomScale="90" workbookViewId="0" tabSelected="1">
      <pane xSplit="29" ySplit="42" topLeftCell="DB49" activePane="bottomRight" state="frozen"/>
      <selection pane="bottomLeft" activeCell="A43" sqref="A43"/>
      <selection pane="topRight" activeCell="AD1" sqref="AD1"/>
      <selection pane="bottomRight" activeCell="T59" sqref="T59:DW59"/>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customWidth="1"/>
    <col min="125" max="125" width="10.57421875" hidden="1"/>
    <col min="126" max="126" style="1635" width="4.00390625" customWidth="1"/>
    <col min="127" max="127" style="1635" width="115.00390625" customWidth="1"/>
    <col min="128" max="132" style="1642" width="10.00390625" customWidth="1"/>
    <col min="133" max="133" style="1635" width="10.57421875" hidden="1"/>
  </cols>
  <sheetData>
    <row customHeight="1" ht="22.5" hidden="1">
      <c r="Y1" s="327"/>
      <c r="Z1" s="327"/>
      <c r="AG1" s="327"/>
      <c r="AH1" s="327"/>
      <c r="AL1" s="1635"/>
      <c r="AM1" s="1635"/>
      <c r="AN1" s="1635"/>
      <c r="AO1" s="1635"/>
      <c r="AP1" s="1635"/>
      <c r="AQ1" s="1635"/>
      <c r="AR1" s="1635"/>
      <c r="AS1" s="1635"/>
      <c r="AT1" s="1635"/>
      <c r="AU1" s="1635"/>
      <c r="AV1" s="1635"/>
      <c r="AW1" s="1635"/>
      <c r="AX1" s="1635"/>
      <c r="AY1" s="1635"/>
      <c r="AZ1" s="1635"/>
      <c r="BA1" s="1635"/>
      <c r="BB1" s="1635"/>
      <c r="BC1" s="1635"/>
      <c r="BD1" s="1635"/>
      <c r="BE1" s="1635"/>
      <c r="BF1" s="1635"/>
      <c r="BG1" s="1635"/>
      <c r="BH1" s="1635"/>
      <c r="BI1" s="1635"/>
      <c r="BJ1" s="1635"/>
      <c r="BK1" s="1635"/>
      <c r="BL1" s="1635"/>
      <c r="BM1" s="1635"/>
      <c r="BN1" s="1635"/>
      <c r="BO1" s="1635"/>
      <c r="BP1" s="1635"/>
      <c r="BQ1" s="1635"/>
      <c r="BR1" s="1635"/>
      <c r="BS1" s="1635"/>
      <c r="BT1" s="1635"/>
      <c r="BU1" s="1635"/>
      <c r="BV1" s="1635"/>
      <c r="BW1" s="1635"/>
      <c r="BX1" s="1635"/>
      <c r="BY1" s="1635"/>
      <c r="BZ1" s="1635"/>
      <c r="CA1" s="1635"/>
      <c r="CB1" s="1635"/>
      <c r="CC1" s="1635"/>
      <c r="CD1" s="1635"/>
      <c r="CE1" s="1635"/>
      <c r="CF1" s="1635"/>
      <c r="CG1" s="1635"/>
      <c r="CH1" s="1635"/>
      <c r="CI1" s="1635"/>
      <c r="CJ1" s="1635"/>
      <c r="CK1" s="1635"/>
      <c r="CL1" s="1635"/>
      <c r="CM1" s="1635"/>
      <c r="CN1" s="1635"/>
      <c r="CO1" s="1635"/>
      <c r="CP1" s="1635"/>
      <c r="CQ1" s="1635"/>
      <c r="CR1" s="1635"/>
      <c r="CS1" s="1635"/>
      <c r="CT1" s="1635"/>
      <c r="CU1" s="1635"/>
      <c r="CV1" s="1635"/>
      <c r="CW1" s="1635"/>
      <c r="CX1" s="1635"/>
      <c r="CY1" s="1635"/>
      <c r="CZ1" s="1635"/>
      <c r="DA1" s="1635"/>
      <c r="DB1" s="1635"/>
      <c r="DC1" s="1635"/>
      <c r="DD1" s="1635"/>
      <c r="DE1" s="1635"/>
      <c r="DF1" s="1635"/>
      <c r="DG1" s="1635"/>
      <c r="DH1" s="1635"/>
      <c r="DI1" s="1635"/>
      <c r="DJ1" s="1635"/>
      <c r="DK1" s="1635"/>
      <c r="DL1" s="1635"/>
      <c r="DM1" s="1635"/>
      <c r="DN1" s="1635"/>
      <c r="DO1" s="1635"/>
      <c r="DP1" s="1635"/>
      <c r="DQ1" s="1635"/>
      <c r="DR1" s="1635"/>
      <c r="DS1" s="1635"/>
      <c r="DT1" s="1635"/>
      <c r="DU1" s="1635"/>
      <c r="EC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127</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2"/>
      <c r="AM2" s="2243"/>
      <c r="AN2" s="2243"/>
      <c r="AO2" s="2243"/>
      <c r="AP2" s="2243"/>
      <c r="AQ2" s="2243"/>
      <c r="AR2" s="2243"/>
      <c r="AS2" s="2244"/>
      <c r="AT2" s="2242"/>
      <c r="AU2" s="2243"/>
      <c r="AV2" s="2243"/>
      <c r="AW2" s="2243"/>
      <c r="AX2" s="2243"/>
      <c r="AY2" s="2243"/>
      <c r="AZ2" s="2243"/>
      <c r="BA2" s="2244"/>
      <c r="BB2" s="2242"/>
      <c r="BC2" s="2243"/>
      <c r="BD2" s="2243"/>
      <c r="BE2" s="2243"/>
      <c r="BF2" s="2243"/>
      <c r="BG2" s="2243"/>
      <c r="BH2" s="2243"/>
      <c r="BI2" s="2244"/>
      <c r="BJ2" s="2242"/>
      <c r="BK2" s="2243"/>
      <c r="BL2" s="2243"/>
      <c r="BM2" s="2243"/>
      <c r="BN2" s="2243"/>
      <c r="BO2" s="2243"/>
      <c r="BP2" s="2243"/>
      <c r="BQ2" s="2244"/>
      <c r="BR2" s="2242"/>
      <c r="BS2" s="2243"/>
      <c r="BT2" s="2243"/>
      <c r="BU2" s="2243"/>
      <c r="BV2" s="2243"/>
      <c r="BW2" s="2243"/>
      <c r="BX2" s="2243"/>
      <c r="BY2" s="2244"/>
      <c r="BZ2" s="2242"/>
      <c r="CA2" s="2243"/>
      <c r="CB2" s="2243"/>
      <c r="CC2" s="2243"/>
      <c r="CD2" s="2243"/>
      <c r="CE2" s="2243"/>
      <c r="CF2" s="2243"/>
      <c r="CG2" s="2244"/>
      <c r="CH2" s="2242"/>
      <c r="CI2" s="2243"/>
      <c r="CJ2" s="2243"/>
      <c r="CK2" s="2243"/>
      <c r="CL2" s="2243"/>
      <c r="CM2" s="2243"/>
      <c r="CN2" s="2243"/>
      <c r="CO2" s="2244"/>
      <c r="CP2" s="2242"/>
      <c r="CQ2" s="2243"/>
      <c r="CR2" s="2243"/>
      <c r="CS2" s="2243"/>
      <c r="CT2" s="2243"/>
      <c r="CU2" s="2243"/>
      <c r="CV2" s="2243"/>
      <c r="CW2" s="2244"/>
      <c r="CX2" s="2242"/>
      <c r="CY2" s="2243"/>
      <c r="CZ2" s="2243"/>
      <c r="DA2" s="2243"/>
      <c r="DB2" s="2243"/>
      <c r="DC2" s="2243"/>
      <c r="DD2" s="2243"/>
      <c r="DE2" s="2244"/>
      <c r="DF2" s="2242"/>
      <c r="DG2" s="2243"/>
      <c r="DH2" s="2243"/>
      <c r="DI2" s="2243"/>
      <c r="DJ2" s="2243"/>
      <c r="DK2" s="2243"/>
      <c r="DL2" s="2243"/>
      <c r="DM2" s="2244"/>
      <c r="DN2" s="2242"/>
      <c r="DO2" s="2243"/>
      <c r="DP2" s="2243"/>
      <c r="DQ2" s="2243"/>
      <c r="DR2" s="2243"/>
      <c r="DS2" s="2243"/>
      <c r="DT2" s="2243"/>
      <c r="DU2" s="2244"/>
      <c r="DV2" s="2244"/>
      <c r="DW2" s="1258" t="s">
        <v>404</v>
      </c>
      <c r="DY2" s="500"/>
      <c r="DZ2" s="500" t="str">
        <f>IF(T2="","",T2)</f>
        <v>Наименование тарифа</v>
      </c>
      <c r="EA2" s="500"/>
      <c r="EB2" s="500"/>
      <c r="EC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2"/>
      <c r="AM3" s="2243"/>
      <c r="AN3" s="2243"/>
      <c r="AO3" s="2243"/>
      <c r="AP3" s="2243"/>
      <c r="AQ3" s="2243"/>
      <c r="AR3" s="2243"/>
      <c r="AS3" s="2244"/>
      <c r="AT3" s="2242"/>
      <c r="AU3" s="2243"/>
      <c r="AV3" s="2243"/>
      <c r="AW3" s="2243"/>
      <c r="AX3" s="2243"/>
      <c r="AY3" s="2243"/>
      <c r="AZ3" s="2243"/>
      <c r="BA3" s="2244"/>
      <c r="BB3" s="2242"/>
      <c r="BC3" s="2243"/>
      <c r="BD3" s="2243"/>
      <c r="BE3" s="2243"/>
      <c r="BF3" s="2243"/>
      <c r="BG3" s="2243"/>
      <c r="BH3" s="2243"/>
      <c r="BI3" s="2244"/>
      <c r="BJ3" s="2242"/>
      <c r="BK3" s="2243"/>
      <c r="BL3" s="2243"/>
      <c r="BM3" s="2243"/>
      <c r="BN3" s="2243"/>
      <c r="BO3" s="2243"/>
      <c r="BP3" s="2243"/>
      <c r="BQ3" s="2244"/>
      <c r="BR3" s="2242"/>
      <c r="BS3" s="2243"/>
      <c r="BT3" s="2243"/>
      <c r="BU3" s="2243"/>
      <c r="BV3" s="2243"/>
      <c r="BW3" s="2243"/>
      <c r="BX3" s="2243"/>
      <c r="BY3" s="2244"/>
      <c r="BZ3" s="2242"/>
      <c r="CA3" s="2243"/>
      <c r="CB3" s="2243"/>
      <c r="CC3" s="2243"/>
      <c r="CD3" s="2243"/>
      <c r="CE3" s="2243"/>
      <c r="CF3" s="2243"/>
      <c r="CG3" s="2244"/>
      <c r="CH3" s="2242"/>
      <c r="CI3" s="2243"/>
      <c r="CJ3" s="2243"/>
      <c r="CK3" s="2243"/>
      <c r="CL3" s="2243"/>
      <c r="CM3" s="2243"/>
      <c r="CN3" s="2243"/>
      <c r="CO3" s="2244"/>
      <c r="CP3" s="2242"/>
      <c r="CQ3" s="2243"/>
      <c r="CR3" s="2243"/>
      <c r="CS3" s="2243"/>
      <c r="CT3" s="2243"/>
      <c r="CU3" s="2243"/>
      <c r="CV3" s="2243"/>
      <c r="CW3" s="2244"/>
      <c r="CX3" s="2242"/>
      <c r="CY3" s="2243"/>
      <c r="CZ3" s="2243"/>
      <c r="DA3" s="2243"/>
      <c r="DB3" s="2243"/>
      <c r="DC3" s="2243"/>
      <c r="DD3" s="2243"/>
      <c r="DE3" s="2244"/>
      <c r="DF3" s="2242"/>
      <c r="DG3" s="2243"/>
      <c r="DH3" s="2243"/>
      <c r="DI3" s="2243"/>
      <c r="DJ3" s="2243"/>
      <c r="DK3" s="2243"/>
      <c r="DL3" s="2243"/>
      <c r="DM3" s="2244"/>
      <c r="DN3" s="2242"/>
      <c r="DO3" s="2243"/>
      <c r="DP3" s="2243"/>
      <c r="DQ3" s="2243"/>
      <c r="DR3" s="2243"/>
      <c r="DS3" s="2243"/>
      <c r="DT3" s="2243"/>
      <c r="DU3" s="2244"/>
      <c r="DV3" s="2244"/>
      <c r="DW3" s="1258" t="s">
        <v>406</v>
      </c>
      <c r="DY3" s="500"/>
      <c r="DZ3" s="500" t="str">
        <f>IF(T3="","",T3)</f>
        <v>Территория действия тарифа</v>
      </c>
      <c r="EA3" s="500"/>
      <c r="EB3" s="500"/>
      <c r="EC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2"/>
      <c r="AM4" s="2243"/>
      <c r="AN4" s="2243"/>
      <c r="AO4" s="2243"/>
      <c r="AP4" s="2243"/>
      <c r="AQ4" s="2243"/>
      <c r="AR4" s="2243"/>
      <c r="AS4" s="2244"/>
      <c r="AT4" s="2242"/>
      <c r="AU4" s="2243"/>
      <c r="AV4" s="2243"/>
      <c r="AW4" s="2243"/>
      <c r="AX4" s="2243"/>
      <c r="AY4" s="2243"/>
      <c r="AZ4" s="2243"/>
      <c r="BA4" s="2244"/>
      <c r="BB4" s="2242"/>
      <c r="BC4" s="2243"/>
      <c r="BD4" s="2243"/>
      <c r="BE4" s="2243"/>
      <c r="BF4" s="2243"/>
      <c r="BG4" s="2243"/>
      <c r="BH4" s="2243"/>
      <c r="BI4" s="2244"/>
      <c r="BJ4" s="2242"/>
      <c r="BK4" s="2243"/>
      <c r="BL4" s="2243"/>
      <c r="BM4" s="2243"/>
      <c r="BN4" s="2243"/>
      <c r="BO4" s="2243"/>
      <c r="BP4" s="2243"/>
      <c r="BQ4" s="2244"/>
      <c r="BR4" s="2242"/>
      <c r="BS4" s="2243"/>
      <c r="BT4" s="2243"/>
      <c r="BU4" s="2243"/>
      <c r="BV4" s="2243"/>
      <c r="BW4" s="2243"/>
      <c r="BX4" s="2243"/>
      <c r="BY4" s="2244"/>
      <c r="BZ4" s="2242"/>
      <c r="CA4" s="2243"/>
      <c r="CB4" s="2243"/>
      <c r="CC4" s="2243"/>
      <c r="CD4" s="2243"/>
      <c r="CE4" s="2243"/>
      <c r="CF4" s="2243"/>
      <c r="CG4" s="2244"/>
      <c r="CH4" s="2242"/>
      <c r="CI4" s="2243"/>
      <c r="CJ4" s="2243"/>
      <c r="CK4" s="2243"/>
      <c r="CL4" s="2243"/>
      <c r="CM4" s="2243"/>
      <c r="CN4" s="2243"/>
      <c r="CO4" s="2244"/>
      <c r="CP4" s="2242"/>
      <c r="CQ4" s="2243"/>
      <c r="CR4" s="2243"/>
      <c r="CS4" s="2243"/>
      <c r="CT4" s="2243"/>
      <c r="CU4" s="2243"/>
      <c r="CV4" s="2243"/>
      <c r="CW4" s="2244"/>
      <c r="CX4" s="2242"/>
      <c r="CY4" s="2243"/>
      <c r="CZ4" s="2243"/>
      <c r="DA4" s="2243"/>
      <c r="DB4" s="2243"/>
      <c r="DC4" s="2243"/>
      <c r="DD4" s="2243"/>
      <c r="DE4" s="2244"/>
      <c r="DF4" s="2242"/>
      <c r="DG4" s="2243"/>
      <c r="DH4" s="2243"/>
      <c r="DI4" s="2243"/>
      <c r="DJ4" s="2243"/>
      <c r="DK4" s="2243"/>
      <c r="DL4" s="2243"/>
      <c r="DM4" s="2244"/>
      <c r="DN4" s="2242"/>
      <c r="DO4" s="2243"/>
      <c r="DP4" s="2243"/>
      <c r="DQ4" s="2243"/>
      <c r="DR4" s="2243"/>
      <c r="DS4" s="2243"/>
      <c r="DT4" s="2243"/>
      <c r="DU4" s="2244"/>
      <c r="DV4" s="2244"/>
      <c r="DW4" s="1258" t="s">
        <v>408</v>
      </c>
      <c r="DY4" s="500"/>
      <c r="DZ4" s="500" t="str">
        <f>IF(T4="","",T4)</f>
        <v>Наименование системы теплоснабжения </v>
      </c>
      <c r="EA4" s="500"/>
      <c r="EB4" s="500"/>
      <c r="EC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2"/>
      <c r="AM5" s="2243"/>
      <c r="AN5" s="2243"/>
      <c r="AO5" s="2243"/>
      <c r="AP5" s="2243"/>
      <c r="AQ5" s="2243"/>
      <c r="AR5" s="2243"/>
      <c r="AS5" s="2244"/>
      <c r="AT5" s="2242"/>
      <c r="AU5" s="2243"/>
      <c r="AV5" s="2243"/>
      <c r="AW5" s="2243"/>
      <c r="AX5" s="2243"/>
      <c r="AY5" s="2243"/>
      <c r="AZ5" s="2243"/>
      <c r="BA5" s="2244"/>
      <c r="BB5" s="2242"/>
      <c r="BC5" s="2243"/>
      <c r="BD5" s="2243"/>
      <c r="BE5" s="2243"/>
      <c r="BF5" s="2243"/>
      <c r="BG5" s="2243"/>
      <c r="BH5" s="2243"/>
      <c r="BI5" s="2244"/>
      <c r="BJ5" s="2242"/>
      <c r="BK5" s="2243"/>
      <c r="BL5" s="2243"/>
      <c r="BM5" s="2243"/>
      <c r="BN5" s="2243"/>
      <c r="BO5" s="2243"/>
      <c r="BP5" s="2243"/>
      <c r="BQ5" s="2244"/>
      <c r="BR5" s="2242"/>
      <c r="BS5" s="2243"/>
      <c r="BT5" s="2243"/>
      <c r="BU5" s="2243"/>
      <c r="BV5" s="2243"/>
      <c r="BW5" s="2243"/>
      <c r="BX5" s="2243"/>
      <c r="BY5" s="2244"/>
      <c r="BZ5" s="2242"/>
      <c r="CA5" s="2243"/>
      <c r="CB5" s="2243"/>
      <c r="CC5" s="2243"/>
      <c r="CD5" s="2243"/>
      <c r="CE5" s="2243"/>
      <c r="CF5" s="2243"/>
      <c r="CG5" s="2244"/>
      <c r="CH5" s="2242"/>
      <c r="CI5" s="2243"/>
      <c r="CJ5" s="2243"/>
      <c r="CK5" s="2243"/>
      <c r="CL5" s="2243"/>
      <c r="CM5" s="2243"/>
      <c r="CN5" s="2243"/>
      <c r="CO5" s="2244"/>
      <c r="CP5" s="2242"/>
      <c r="CQ5" s="2243"/>
      <c r="CR5" s="2243"/>
      <c r="CS5" s="2243"/>
      <c r="CT5" s="2243"/>
      <c r="CU5" s="2243"/>
      <c r="CV5" s="2243"/>
      <c r="CW5" s="2244"/>
      <c r="CX5" s="2242"/>
      <c r="CY5" s="2243"/>
      <c r="CZ5" s="2243"/>
      <c r="DA5" s="2243"/>
      <c r="DB5" s="2243"/>
      <c r="DC5" s="2243"/>
      <c r="DD5" s="2243"/>
      <c r="DE5" s="2244"/>
      <c r="DF5" s="2242"/>
      <c r="DG5" s="2243"/>
      <c r="DH5" s="2243"/>
      <c r="DI5" s="2243"/>
      <c r="DJ5" s="2243"/>
      <c r="DK5" s="2243"/>
      <c r="DL5" s="2243"/>
      <c r="DM5" s="2244"/>
      <c r="DN5" s="2242"/>
      <c r="DO5" s="2243"/>
      <c r="DP5" s="2243"/>
      <c r="DQ5" s="2243"/>
      <c r="DR5" s="2243"/>
      <c r="DS5" s="2243"/>
      <c r="DT5" s="2243"/>
      <c r="DU5" s="2244"/>
      <c r="DV5" s="2244"/>
      <c r="DW5" s="1258" t="s">
        <v>410</v>
      </c>
      <c r="DY5" s="500"/>
      <c r="DZ5" s="500" t="str">
        <f>IF(T5="","",T5)</f>
        <v>Источник тепловой энергии  </v>
      </c>
      <c r="EA5" s="500"/>
      <c r="EB5" s="500"/>
      <c r="EC5" s="1155">
        <v>0</v>
      </c>
    </row>
    <row customHeight="1" ht="47.25" hidden="1">
      <c r="A6" s="1363"/>
      <c r="B6" s="1363"/>
      <c r="C6" s="1363"/>
      <c r="D6" s="1363"/>
      <c r="E6" s="2259"/>
      <c r="F6" s="2259"/>
      <c r="G6" s="2259"/>
      <c r="H6" s="2259"/>
      <c r="I6" s="2256">
        <f>S5&amp;".1"</f>
      </c>
      <c r="J6" s="1363"/>
      <c r="K6" s="1363"/>
      <c r="L6" s="1364" t="s">
        <v>411</v>
      </c>
      <c r="M6" s="537"/>
      <c r="P6" s="2257">
        <v>1</v>
      </c>
      <c r="Q6" s="1331"/>
      <c r="R6" s="356"/>
      <c r="S6" s="1336">
        <f>$I6</f>
      </c>
      <c r="T6" s="285" t="s">
        <v>412</v>
      </c>
      <c r="U6" s="300"/>
      <c r="V6" s="2245"/>
      <c r="W6" s="2246"/>
      <c r="X6" s="2246"/>
      <c r="Y6" s="2246"/>
      <c r="Z6" s="2246"/>
      <c r="AA6" s="2246"/>
      <c r="AB6" s="2246"/>
      <c r="AC6" s="2247"/>
      <c r="AD6" s="2245"/>
      <c r="AE6" s="2246"/>
      <c r="AF6" s="2246"/>
      <c r="AG6" s="2246"/>
      <c r="AH6" s="2246"/>
      <c r="AI6" s="2246"/>
      <c r="AJ6" s="2246"/>
      <c r="AK6" s="2246"/>
      <c r="AL6" s="2245"/>
      <c r="AM6" s="2246"/>
      <c r="AN6" s="2246"/>
      <c r="AO6" s="2246"/>
      <c r="AP6" s="2246"/>
      <c r="AQ6" s="2246"/>
      <c r="AR6" s="2246"/>
      <c r="AS6" s="2247"/>
      <c r="AT6" s="2245"/>
      <c r="AU6" s="2246"/>
      <c r="AV6" s="2246"/>
      <c r="AW6" s="2246"/>
      <c r="AX6" s="2246"/>
      <c r="AY6" s="2246"/>
      <c r="AZ6" s="2246"/>
      <c r="BA6" s="2247"/>
      <c r="BB6" s="2245"/>
      <c r="BC6" s="2246"/>
      <c r="BD6" s="2246"/>
      <c r="BE6" s="2246"/>
      <c r="BF6" s="2246"/>
      <c r="BG6" s="2246"/>
      <c r="BH6" s="2246"/>
      <c r="BI6" s="2247"/>
      <c r="BJ6" s="2245"/>
      <c r="BK6" s="2246"/>
      <c r="BL6" s="2246"/>
      <c r="BM6" s="2246"/>
      <c r="BN6" s="2246"/>
      <c r="BO6" s="2246"/>
      <c r="BP6" s="2246"/>
      <c r="BQ6" s="2247"/>
      <c r="BR6" s="2245"/>
      <c r="BS6" s="2246"/>
      <c r="BT6" s="2246"/>
      <c r="BU6" s="2246"/>
      <c r="BV6" s="2246"/>
      <c r="BW6" s="2246"/>
      <c r="BX6" s="2246"/>
      <c r="BY6" s="2247"/>
      <c r="BZ6" s="2245"/>
      <c r="CA6" s="2246"/>
      <c r="CB6" s="2246"/>
      <c r="CC6" s="2246"/>
      <c r="CD6" s="2246"/>
      <c r="CE6" s="2246"/>
      <c r="CF6" s="2246"/>
      <c r="CG6" s="2247"/>
      <c r="CH6" s="2245"/>
      <c r="CI6" s="2246"/>
      <c r="CJ6" s="2246"/>
      <c r="CK6" s="2246"/>
      <c r="CL6" s="2246"/>
      <c r="CM6" s="2246"/>
      <c r="CN6" s="2246"/>
      <c r="CO6" s="2247"/>
      <c r="CP6" s="2245"/>
      <c r="CQ6" s="2246"/>
      <c r="CR6" s="2246"/>
      <c r="CS6" s="2246"/>
      <c r="CT6" s="2246"/>
      <c r="CU6" s="2246"/>
      <c r="CV6" s="2246"/>
      <c r="CW6" s="2247"/>
      <c r="CX6" s="2245"/>
      <c r="CY6" s="2246"/>
      <c r="CZ6" s="2246"/>
      <c r="DA6" s="2246"/>
      <c r="DB6" s="2246"/>
      <c r="DC6" s="2246"/>
      <c r="DD6" s="2246"/>
      <c r="DE6" s="2247"/>
      <c r="DF6" s="2245"/>
      <c r="DG6" s="2246"/>
      <c r="DH6" s="2246"/>
      <c r="DI6" s="2246"/>
      <c r="DJ6" s="2246"/>
      <c r="DK6" s="2246"/>
      <c r="DL6" s="2246"/>
      <c r="DM6" s="2247"/>
      <c r="DN6" s="2245"/>
      <c r="DO6" s="2246"/>
      <c r="DP6" s="2246"/>
      <c r="DQ6" s="2246"/>
      <c r="DR6" s="2246"/>
      <c r="DS6" s="2246"/>
      <c r="DT6" s="2246"/>
      <c r="DU6" s="2247"/>
      <c r="DV6" s="2247"/>
      <c r="DW6" s="1258" t="s">
        <v>413</v>
      </c>
      <c r="DY6" s="500"/>
      <c r="DZ6" s="500" t="str">
        <f>IF(T6="","",T6)</f>
        <v>Схема подключения теплопотребляющей установки к коллектору источника тепловой энергии</v>
      </c>
      <c r="EA6" s="500"/>
      <c r="EB6" s="500"/>
      <c r="EC6" s="1155">
        <v>0</v>
      </c>
    </row>
    <row customHeight="1" ht="21" hidden="1">
      <c r="A7" s="1363"/>
      <c r="B7" s="1363"/>
      <c r="C7" s="1363"/>
      <c r="D7" s="1363"/>
      <c r="E7" s="2259"/>
      <c r="F7" s="2259"/>
      <c r="G7" s="2259"/>
      <c r="H7" s="2259"/>
      <c r="I7" s="2286"/>
      <c r="J7" s="2256">
        <f>I6&amp;".1"</f>
      </c>
      <c r="K7" s="1363"/>
      <c r="L7" s="1364" t="s">
        <v>414</v>
      </c>
      <c r="M7" s="537"/>
      <c r="N7" s="1366"/>
      <c r="P7" s="2257"/>
      <c r="Q7" s="2257">
        <v>1</v>
      </c>
      <c r="R7" s="357"/>
      <c r="S7" s="1336">
        <f>$J7</f>
      </c>
      <c r="T7" s="286" t="s">
        <v>415</v>
      </c>
      <c r="U7" s="300"/>
      <c r="V7" s="2245"/>
      <c r="W7" s="2246"/>
      <c r="X7" s="2246"/>
      <c r="Y7" s="2246"/>
      <c r="Z7" s="2246"/>
      <c r="AA7" s="2246"/>
      <c r="AB7" s="2246"/>
      <c r="AC7" s="2247"/>
      <c r="AD7" s="2245"/>
      <c r="AE7" s="2246"/>
      <c r="AF7" s="2246"/>
      <c r="AG7" s="2246"/>
      <c r="AH7" s="2246"/>
      <c r="AI7" s="2246"/>
      <c r="AJ7" s="2246"/>
      <c r="AK7" s="2246"/>
      <c r="AL7" s="2245"/>
      <c r="AM7" s="2246"/>
      <c r="AN7" s="2246"/>
      <c r="AO7" s="2246"/>
      <c r="AP7" s="2246"/>
      <c r="AQ7" s="2246"/>
      <c r="AR7" s="2246"/>
      <c r="AS7" s="2247"/>
      <c r="AT7" s="2245"/>
      <c r="AU7" s="2246"/>
      <c r="AV7" s="2246"/>
      <c r="AW7" s="2246"/>
      <c r="AX7" s="2246"/>
      <c r="AY7" s="2246"/>
      <c r="AZ7" s="2246"/>
      <c r="BA7" s="2247"/>
      <c r="BB7" s="2245"/>
      <c r="BC7" s="2246"/>
      <c r="BD7" s="2246"/>
      <c r="BE7" s="2246"/>
      <c r="BF7" s="2246"/>
      <c r="BG7" s="2246"/>
      <c r="BH7" s="2246"/>
      <c r="BI7" s="2247"/>
      <c r="BJ7" s="2245"/>
      <c r="BK7" s="2246"/>
      <c r="BL7" s="2246"/>
      <c r="BM7" s="2246"/>
      <c r="BN7" s="2246"/>
      <c r="BO7" s="2246"/>
      <c r="BP7" s="2246"/>
      <c r="BQ7" s="2247"/>
      <c r="BR7" s="2245"/>
      <c r="BS7" s="2246"/>
      <c r="BT7" s="2246"/>
      <c r="BU7" s="2246"/>
      <c r="BV7" s="2246"/>
      <c r="BW7" s="2246"/>
      <c r="BX7" s="2246"/>
      <c r="BY7" s="2247"/>
      <c r="BZ7" s="2245"/>
      <c r="CA7" s="2246"/>
      <c r="CB7" s="2246"/>
      <c r="CC7" s="2246"/>
      <c r="CD7" s="2246"/>
      <c r="CE7" s="2246"/>
      <c r="CF7" s="2246"/>
      <c r="CG7" s="2247"/>
      <c r="CH7" s="2245"/>
      <c r="CI7" s="2246"/>
      <c r="CJ7" s="2246"/>
      <c r="CK7" s="2246"/>
      <c r="CL7" s="2246"/>
      <c r="CM7" s="2246"/>
      <c r="CN7" s="2246"/>
      <c r="CO7" s="2247"/>
      <c r="CP7" s="2245"/>
      <c r="CQ7" s="2246"/>
      <c r="CR7" s="2246"/>
      <c r="CS7" s="2246"/>
      <c r="CT7" s="2246"/>
      <c r="CU7" s="2246"/>
      <c r="CV7" s="2246"/>
      <c r="CW7" s="2247"/>
      <c r="CX7" s="2245"/>
      <c r="CY7" s="2246"/>
      <c r="CZ7" s="2246"/>
      <c r="DA7" s="2246"/>
      <c r="DB7" s="2246"/>
      <c r="DC7" s="2246"/>
      <c r="DD7" s="2246"/>
      <c r="DE7" s="2247"/>
      <c r="DF7" s="2245"/>
      <c r="DG7" s="2246"/>
      <c r="DH7" s="2246"/>
      <c r="DI7" s="2246"/>
      <c r="DJ7" s="2246"/>
      <c r="DK7" s="2246"/>
      <c r="DL7" s="2246"/>
      <c r="DM7" s="2247"/>
      <c r="DN7" s="2245"/>
      <c r="DO7" s="2246"/>
      <c r="DP7" s="2246"/>
      <c r="DQ7" s="2246"/>
      <c r="DR7" s="2246"/>
      <c r="DS7" s="2246"/>
      <c r="DT7" s="2246"/>
      <c r="DU7" s="2247"/>
      <c r="DV7" s="2247"/>
      <c r="DW7" s="1258" t="s">
        <v>416</v>
      </c>
      <c r="DY7" s="500"/>
      <c r="DZ7" s="500" t="str">
        <f>IF(T7="","",T7)</f>
        <v>Группа потребителей</v>
      </c>
      <c r="EA7" s="500"/>
      <c r="EB7" s="500"/>
      <c r="EC7" s="1155">
        <v>0</v>
      </c>
    </row>
    <row customHeight="1" ht="21" hidden="1">
      <c r="A8" s="1363"/>
      <c r="B8" s="1363"/>
      <c r="C8" s="1363"/>
      <c r="D8" s="1363"/>
      <c r="E8" s="2259"/>
      <c r="F8" s="2259"/>
      <c r="G8" s="2259"/>
      <c r="H8" s="2259"/>
      <c r="I8" s="2286"/>
      <c r="J8" s="2286"/>
      <c r="K8" s="2256">
        <f>J7&amp;".1"</f>
      </c>
      <c r="L8" s="1364" t="s">
        <v>417</v>
      </c>
      <c r="M8" s="537"/>
      <c r="N8" s="1366"/>
      <c r="O8" s="1366"/>
      <c r="P8" s="2257"/>
      <c r="Q8" s="2257"/>
      <c r="R8" s="357">
        <v>1</v>
      </c>
      <c r="S8" s="1336">
        <f>$K8</f>
      </c>
      <c r="T8" s="1347"/>
      <c r="U8" s="300"/>
      <c r="V8" s="751"/>
      <c r="W8" s="325"/>
      <c r="X8" s="751"/>
      <c r="Y8" s="1257"/>
      <c r="Z8" s="2265"/>
      <c r="AA8" s="2107" t="s">
        <v>70</v>
      </c>
      <c r="AB8" s="2265"/>
      <c r="AC8" s="2107" t="s">
        <v>70</v>
      </c>
      <c r="AD8" s="751"/>
      <c r="AE8" s="325"/>
      <c r="AF8" s="751"/>
      <c r="AG8" s="1257"/>
      <c r="AH8" s="2265"/>
      <c r="AI8" s="2107" t="s">
        <v>70</v>
      </c>
      <c r="AJ8" s="2265"/>
      <c r="AK8" s="2107" t="s">
        <v>70</v>
      </c>
      <c r="AL8" s="751"/>
      <c r="AM8" s="325"/>
      <c r="AN8" s="751"/>
      <c r="AO8" s="1257"/>
      <c r="AP8" s="2602"/>
      <c r="AQ8" s="2107" t="s">
        <v>70</v>
      </c>
      <c r="AR8" s="2602"/>
      <c r="AS8" s="2107" t="s">
        <v>70</v>
      </c>
      <c r="AT8" s="751"/>
      <c r="AU8" s="325"/>
      <c r="AV8" s="751"/>
      <c r="AW8" s="1257"/>
      <c r="AX8" s="2602"/>
      <c r="AY8" s="2107" t="s">
        <v>70</v>
      </c>
      <c r="AZ8" s="2602"/>
      <c r="BA8" s="2107" t="s">
        <v>70</v>
      </c>
      <c r="BB8" s="751"/>
      <c r="BC8" s="325"/>
      <c r="BD8" s="751"/>
      <c r="BE8" s="1257"/>
      <c r="BF8" s="2602"/>
      <c r="BG8" s="2107" t="s">
        <v>70</v>
      </c>
      <c r="BH8" s="2602"/>
      <c r="BI8" s="2107" t="s">
        <v>70</v>
      </c>
      <c r="BJ8" s="751"/>
      <c r="BK8" s="325"/>
      <c r="BL8" s="751"/>
      <c r="BM8" s="1257"/>
      <c r="BN8" s="2602"/>
      <c r="BO8" s="2107" t="s">
        <v>70</v>
      </c>
      <c r="BP8" s="2602"/>
      <c r="BQ8" s="2107" t="s">
        <v>70</v>
      </c>
      <c r="BR8" s="751"/>
      <c r="BS8" s="325"/>
      <c r="BT8" s="751"/>
      <c r="BU8" s="1257"/>
      <c r="BV8" s="2602"/>
      <c r="BW8" s="2107" t="s">
        <v>70</v>
      </c>
      <c r="BX8" s="2602"/>
      <c r="BY8" s="2107" t="s">
        <v>70</v>
      </c>
      <c r="BZ8" s="751"/>
      <c r="CA8" s="325"/>
      <c r="CB8" s="751"/>
      <c r="CC8" s="1257"/>
      <c r="CD8" s="2602"/>
      <c r="CE8" s="2107" t="s">
        <v>70</v>
      </c>
      <c r="CF8" s="2602"/>
      <c r="CG8" s="2107" t="s">
        <v>70</v>
      </c>
      <c r="CH8" s="751"/>
      <c r="CI8" s="325"/>
      <c r="CJ8" s="751"/>
      <c r="CK8" s="1257"/>
      <c r="CL8" s="2602"/>
      <c r="CM8" s="2107" t="s">
        <v>70</v>
      </c>
      <c r="CN8" s="2602"/>
      <c r="CO8" s="2107" t="s">
        <v>70</v>
      </c>
      <c r="CP8" s="751"/>
      <c r="CQ8" s="325"/>
      <c r="CR8" s="751"/>
      <c r="CS8" s="1257"/>
      <c r="CT8" s="2602"/>
      <c r="CU8" s="2107" t="s">
        <v>70</v>
      </c>
      <c r="CV8" s="2602"/>
      <c r="CW8" s="2107" t="s">
        <v>70</v>
      </c>
      <c r="CX8" s="751"/>
      <c r="CY8" s="325"/>
      <c r="CZ8" s="751"/>
      <c r="DA8" s="1257"/>
      <c r="DB8" s="2602"/>
      <c r="DC8" s="2107" t="s">
        <v>70</v>
      </c>
      <c r="DD8" s="2602"/>
      <c r="DE8" s="2107" t="s">
        <v>70</v>
      </c>
      <c r="DF8" s="751"/>
      <c r="DG8" s="325"/>
      <c r="DH8" s="751"/>
      <c r="DI8" s="1257"/>
      <c r="DJ8" s="2602"/>
      <c r="DK8" s="2107" t="s">
        <v>70</v>
      </c>
      <c r="DL8" s="2602"/>
      <c r="DM8" s="2107" t="s">
        <v>70</v>
      </c>
      <c r="DN8" s="751"/>
      <c r="DO8" s="325"/>
      <c r="DP8" s="751"/>
      <c r="DQ8" s="1257"/>
      <c r="DR8" s="2602"/>
      <c r="DS8" s="2107" t="s">
        <v>70</v>
      </c>
      <c r="DT8" s="2602"/>
      <c r="DU8" s="2107" t="s">
        <v>70</v>
      </c>
      <c r="DV8" s="325"/>
      <c r="DW8" s="2253" t="s">
        <v>418</v>
      </c>
      <c r="DX8" s="511">
        <f>STRCHECKDATE(V9:DV9)</f>
      </c>
      <c r="DY8" s="500"/>
      <c r="DZ8" s="500" t="str">
        <f>IF(T8="","",T8)</f>
        <v/>
      </c>
      <c r="EA8" s="500"/>
      <c r="EB8" s="500"/>
      <c r="EC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325"/>
      <c r="AN9" s="325"/>
      <c r="AO9" s="328" t="str">
        <f>AP8&amp;"-"&amp;AR8</f>
        <v>-</v>
      </c>
      <c r="AP9" s="2309"/>
      <c r="AQ9" s="2107"/>
      <c r="AR9" s="2309"/>
      <c r="AS9" s="2107"/>
      <c r="AT9" s="325"/>
      <c r="AU9" s="325"/>
      <c r="AV9" s="325"/>
      <c r="AW9" s="328" t="str">
        <f>AX8&amp;"-"&amp;AZ8</f>
        <v>-</v>
      </c>
      <c r="AX9" s="2309"/>
      <c r="AY9" s="2107"/>
      <c r="AZ9" s="2309"/>
      <c r="BA9" s="2107"/>
      <c r="BB9" s="325"/>
      <c r="BC9" s="325"/>
      <c r="BD9" s="325"/>
      <c r="BE9" s="328" t="str">
        <f>BF8&amp;"-"&amp;BH8</f>
        <v>-</v>
      </c>
      <c r="BF9" s="2309"/>
      <c r="BG9" s="2107"/>
      <c r="BH9" s="2309"/>
      <c r="BI9" s="2107"/>
      <c r="BJ9" s="325"/>
      <c r="BK9" s="325"/>
      <c r="BL9" s="325"/>
      <c r="BM9" s="328" t="str">
        <f>BN8&amp;"-"&amp;BP8</f>
        <v>-</v>
      </c>
      <c r="BN9" s="2309"/>
      <c r="BO9" s="2107"/>
      <c r="BP9" s="2309"/>
      <c r="BQ9" s="2107"/>
      <c r="BR9" s="325"/>
      <c r="BS9" s="325"/>
      <c r="BT9" s="325"/>
      <c r="BU9" s="328" t="str">
        <f>BV8&amp;"-"&amp;BX8</f>
        <v>-</v>
      </c>
      <c r="BV9" s="2309"/>
      <c r="BW9" s="2107"/>
      <c r="BX9" s="2309"/>
      <c r="BY9" s="2107"/>
      <c r="BZ9" s="325"/>
      <c r="CA9" s="325"/>
      <c r="CB9" s="325"/>
      <c r="CC9" s="328" t="str">
        <f>CD8&amp;"-"&amp;CF8</f>
        <v>-</v>
      </c>
      <c r="CD9" s="2309"/>
      <c r="CE9" s="2107"/>
      <c r="CF9" s="2309"/>
      <c r="CG9" s="2107"/>
      <c r="CH9" s="325"/>
      <c r="CI9" s="325"/>
      <c r="CJ9" s="325"/>
      <c r="CK9" s="328" t="str">
        <f>CL8&amp;"-"&amp;CN8</f>
        <v>-</v>
      </c>
      <c r="CL9" s="2309"/>
      <c r="CM9" s="2107"/>
      <c r="CN9" s="2309"/>
      <c r="CO9" s="2107"/>
      <c r="CP9" s="325"/>
      <c r="CQ9" s="325"/>
      <c r="CR9" s="325"/>
      <c r="CS9" s="328" t="str">
        <f>CT8&amp;"-"&amp;CV8</f>
        <v>-</v>
      </c>
      <c r="CT9" s="2309"/>
      <c r="CU9" s="2107"/>
      <c r="CV9" s="2309"/>
      <c r="CW9" s="2107"/>
      <c r="CX9" s="325"/>
      <c r="CY9" s="325"/>
      <c r="CZ9" s="325"/>
      <c r="DA9" s="328" t="str">
        <f>DB8&amp;"-"&amp;DD8</f>
        <v>-</v>
      </c>
      <c r="DB9" s="2309"/>
      <c r="DC9" s="2107"/>
      <c r="DD9" s="2309"/>
      <c r="DE9" s="2107"/>
      <c r="DF9" s="325"/>
      <c r="DG9" s="325"/>
      <c r="DH9" s="325"/>
      <c r="DI9" s="328" t="str">
        <f>DJ8&amp;"-"&amp;DL8</f>
        <v>-</v>
      </c>
      <c r="DJ9" s="2309"/>
      <c r="DK9" s="2107"/>
      <c r="DL9" s="2309"/>
      <c r="DM9" s="2107"/>
      <c r="DN9" s="325"/>
      <c r="DO9" s="325"/>
      <c r="DP9" s="325"/>
      <c r="DQ9" s="328" t="str">
        <f>DR8&amp;"-"&amp;DT8</f>
        <v>-</v>
      </c>
      <c r="DR9" s="2309"/>
      <c r="DS9" s="2107"/>
      <c r="DT9" s="2309"/>
      <c r="DU9" s="2107"/>
      <c r="DV9" s="325"/>
      <c r="DW9" s="2254"/>
      <c r="DY9" s="500"/>
      <c r="DZ9" s="500" t="str">
        <f>IF(T9="","",T9)</f>
        <v/>
      </c>
      <c r="EA9" s="500"/>
      <c r="EB9" s="500"/>
      <c r="EC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419</v>
      </c>
      <c r="U10" s="367"/>
      <c r="V10" s="367"/>
      <c r="W10" s="367"/>
      <c r="X10" s="367"/>
      <c r="Y10" s="367"/>
      <c r="Z10" s="367"/>
      <c r="AA10" s="367"/>
      <c r="AB10" s="367"/>
      <c r="AC10" s="367"/>
      <c r="AD10" s="367"/>
      <c r="AE10" s="367"/>
      <c r="AF10" s="367"/>
      <c r="AG10" s="367"/>
      <c r="AH10" s="367"/>
      <c r="AI10" s="367"/>
      <c r="AJ10" s="367"/>
      <c r="AK10" s="367"/>
      <c r="AL10" s="2680"/>
      <c r="AM10" s="2681"/>
      <c r="AN10" s="2682"/>
      <c r="AO10" s="2683"/>
      <c r="AP10" s="2684"/>
      <c r="AQ10" s="2685"/>
      <c r="AR10" s="2686"/>
      <c r="AS10" s="2687"/>
      <c r="AT10" s="2688"/>
      <c r="AU10" s="2689"/>
      <c r="AV10" s="2690"/>
      <c r="AW10" s="2691"/>
      <c r="AX10" s="2692"/>
      <c r="AY10" s="2693"/>
      <c r="AZ10" s="2694"/>
      <c r="BA10" s="2695"/>
      <c r="BB10" s="2696"/>
      <c r="BC10" s="2697"/>
      <c r="BD10" s="2698"/>
      <c r="BE10" s="2699"/>
      <c r="BF10" s="2700"/>
      <c r="BG10" s="2701"/>
      <c r="BH10" s="2702"/>
      <c r="BI10" s="2703"/>
      <c r="BJ10" s="2704"/>
      <c r="BK10" s="2705"/>
      <c r="BL10" s="2706"/>
      <c r="BM10" s="2707"/>
      <c r="BN10" s="2708"/>
      <c r="BO10" s="2709"/>
      <c r="BP10" s="2710"/>
      <c r="BQ10" s="2711"/>
      <c r="BR10" s="2712"/>
      <c r="BS10" s="2713"/>
      <c r="BT10" s="2714"/>
      <c r="BU10" s="2715"/>
      <c r="BV10" s="2716"/>
      <c r="BW10" s="2717"/>
      <c r="BX10" s="2718"/>
      <c r="BY10" s="2719"/>
      <c r="BZ10" s="2720"/>
      <c r="CA10" s="2721"/>
      <c r="CB10" s="2722"/>
      <c r="CC10" s="2723"/>
      <c r="CD10" s="2724"/>
      <c r="CE10" s="2725"/>
      <c r="CF10" s="2726"/>
      <c r="CG10" s="2727"/>
      <c r="CH10" s="2728"/>
      <c r="CI10" s="2729"/>
      <c r="CJ10" s="2730"/>
      <c r="CK10" s="2731"/>
      <c r="CL10" s="2732"/>
      <c r="CM10" s="2733"/>
      <c r="CN10" s="2734"/>
      <c r="CO10" s="2735"/>
      <c r="CP10" s="2736"/>
      <c r="CQ10" s="2737"/>
      <c r="CR10" s="2738"/>
      <c r="CS10" s="2739"/>
      <c r="CT10" s="2740"/>
      <c r="CU10" s="2741"/>
      <c r="CV10" s="2742"/>
      <c r="CW10" s="2743"/>
      <c r="CX10" s="2744"/>
      <c r="CY10" s="2745"/>
      <c r="CZ10" s="2746"/>
      <c r="DA10" s="2747"/>
      <c r="DB10" s="2748"/>
      <c r="DC10" s="2749"/>
      <c r="DD10" s="2750"/>
      <c r="DE10" s="2751"/>
      <c r="DF10" s="2752"/>
      <c r="DG10" s="2753"/>
      <c r="DH10" s="2754"/>
      <c r="DI10" s="2755"/>
      <c r="DJ10" s="2756"/>
      <c r="DK10" s="2757"/>
      <c r="DL10" s="2758"/>
      <c r="DM10" s="2759"/>
      <c r="DN10" s="2760"/>
      <c r="DO10" s="2761"/>
      <c r="DP10" s="2762"/>
      <c r="DQ10" s="2763"/>
      <c r="DR10" s="2764"/>
      <c r="DS10" s="2765"/>
      <c r="DT10" s="2766"/>
      <c r="DU10" s="2767"/>
      <c r="DV10" s="324"/>
      <c r="DW10" s="2255"/>
      <c r="DY10" s="500"/>
      <c r="DZ10" s="500" t="str">
        <f>IF(T10="","",T10)</f>
        <v>Добавить вид теплоносителя (параметры теплоносителя)</v>
      </c>
      <c r="EA10" s="500"/>
      <c r="EB10" s="500"/>
      <c r="EC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420</v>
      </c>
      <c r="U11" s="367"/>
      <c r="V11" s="367"/>
      <c r="W11" s="367"/>
      <c r="X11" s="367"/>
      <c r="Y11" s="367"/>
      <c r="Z11" s="367"/>
      <c r="AA11" s="367"/>
      <c r="AB11" s="367"/>
      <c r="AC11" s="366"/>
      <c r="AD11" s="367"/>
      <c r="AE11" s="367"/>
      <c r="AF11" s="367"/>
      <c r="AG11" s="367"/>
      <c r="AH11" s="367"/>
      <c r="AI11" s="367"/>
      <c r="AJ11" s="367"/>
      <c r="AK11" s="366"/>
      <c r="AL11" s="2768"/>
      <c r="AM11" s="2769"/>
      <c r="AN11" s="2770"/>
      <c r="AO11" s="2771"/>
      <c r="AP11" s="2772"/>
      <c r="AQ11" s="2773"/>
      <c r="AR11" s="2774"/>
      <c r="AS11" s="2775"/>
      <c r="AT11" s="2776"/>
      <c r="AU11" s="2777"/>
      <c r="AV11" s="2778"/>
      <c r="AW11" s="2779"/>
      <c r="AX11" s="2780"/>
      <c r="AY11" s="2781"/>
      <c r="AZ11" s="2782"/>
      <c r="BA11" s="2783"/>
      <c r="BB11" s="2784"/>
      <c r="BC11" s="2785"/>
      <c r="BD11" s="2786"/>
      <c r="BE11" s="2787"/>
      <c r="BF11" s="2788"/>
      <c r="BG11" s="2789"/>
      <c r="BH11" s="2790"/>
      <c r="BI11" s="2791"/>
      <c r="BJ11" s="2792"/>
      <c r="BK11" s="2793"/>
      <c r="BL11" s="2794"/>
      <c r="BM11" s="2795"/>
      <c r="BN11" s="2796"/>
      <c r="BO11" s="2797"/>
      <c r="BP11" s="2798"/>
      <c r="BQ11" s="2799"/>
      <c r="BR11" s="2800"/>
      <c r="BS11" s="2801"/>
      <c r="BT11" s="2802"/>
      <c r="BU11" s="2803"/>
      <c r="BV11" s="2804"/>
      <c r="BW11" s="2805"/>
      <c r="BX11" s="2806"/>
      <c r="BY11" s="2807"/>
      <c r="BZ11" s="2808"/>
      <c r="CA11" s="2809"/>
      <c r="CB11" s="2810"/>
      <c r="CC11" s="2811"/>
      <c r="CD11" s="2812"/>
      <c r="CE11" s="2813"/>
      <c r="CF11" s="2814"/>
      <c r="CG11" s="2815"/>
      <c r="CH11" s="2816"/>
      <c r="CI11" s="2817"/>
      <c r="CJ11" s="2818"/>
      <c r="CK11" s="2819"/>
      <c r="CL11" s="2820"/>
      <c r="CM11" s="2821"/>
      <c r="CN11" s="2822"/>
      <c r="CO11" s="2823"/>
      <c r="CP11" s="2824"/>
      <c r="CQ11" s="2825"/>
      <c r="CR11" s="2826"/>
      <c r="CS11" s="2827"/>
      <c r="CT11" s="2828"/>
      <c r="CU11" s="2829"/>
      <c r="CV11" s="2830"/>
      <c r="CW11" s="2831"/>
      <c r="CX11" s="2832"/>
      <c r="CY11" s="2833"/>
      <c r="CZ11" s="2834"/>
      <c r="DA11" s="2835"/>
      <c r="DB11" s="2836"/>
      <c r="DC11" s="2837"/>
      <c r="DD11" s="2838"/>
      <c r="DE11" s="2839"/>
      <c r="DF11" s="2840"/>
      <c r="DG11" s="2841"/>
      <c r="DH11" s="2842"/>
      <c r="DI11" s="2843"/>
      <c r="DJ11" s="2844"/>
      <c r="DK11" s="2845"/>
      <c r="DL11" s="2846"/>
      <c r="DM11" s="2847"/>
      <c r="DN11" s="2848"/>
      <c r="DO11" s="2849"/>
      <c r="DP11" s="2850"/>
      <c r="DQ11" s="2851"/>
      <c r="DR11" s="2852"/>
      <c r="DS11" s="2853"/>
      <c r="DT11" s="2854"/>
      <c r="DU11" s="2855"/>
      <c r="DV11" s="367"/>
      <c r="DW11" s="303"/>
      <c r="DY11" s="500"/>
      <c r="DZ11" s="500" t="str">
        <f>IF(T11="","",T11)</f>
        <v>Добавить группу потребителей</v>
      </c>
      <c r="EA11" s="500"/>
      <c r="EB11" s="500"/>
      <c r="EC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421</v>
      </c>
      <c r="U12" s="367"/>
      <c r="V12" s="367"/>
      <c r="W12" s="367"/>
      <c r="X12" s="367"/>
      <c r="Y12" s="367"/>
      <c r="Z12" s="367"/>
      <c r="AA12" s="367"/>
      <c r="AB12" s="367"/>
      <c r="AC12" s="366"/>
      <c r="AD12" s="367"/>
      <c r="AE12" s="367"/>
      <c r="AF12" s="367"/>
      <c r="AG12" s="367"/>
      <c r="AH12" s="367"/>
      <c r="AI12" s="367"/>
      <c r="AJ12" s="367"/>
      <c r="AK12" s="366"/>
      <c r="AL12" s="2856"/>
      <c r="AM12" s="2857"/>
      <c r="AN12" s="2858"/>
      <c r="AO12" s="2859"/>
      <c r="AP12" s="2860"/>
      <c r="AQ12" s="2861"/>
      <c r="AR12" s="2862"/>
      <c r="AS12" s="2863"/>
      <c r="AT12" s="2864"/>
      <c r="AU12" s="2865"/>
      <c r="AV12" s="2866"/>
      <c r="AW12" s="2867"/>
      <c r="AX12" s="2868"/>
      <c r="AY12" s="2869"/>
      <c r="AZ12" s="2870"/>
      <c r="BA12" s="2871"/>
      <c r="BB12" s="2872"/>
      <c r="BC12" s="2873"/>
      <c r="BD12" s="2874"/>
      <c r="BE12" s="2875"/>
      <c r="BF12" s="2876"/>
      <c r="BG12" s="2877"/>
      <c r="BH12" s="2878"/>
      <c r="BI12" s="2879"/>
      <c r="BJ12" s="2880"/>
      <c r="BK12" s="2881"/>
      <c r="BL12" s="2882"/>
      <c r="BM12" s="2883"/>
      <c r="BN12" s="2884"/>
      <c r="BO12" s="2885"/>
      <c r="BP12" s="2886"/>
      <c r="BQ12" s="2887"/>
      <c r="BR12" s="2888"/>
      <c r="BS12" s="2889"/>
      <c r="BT12" s="2890"/>
      <c r="BU12" s="2891"/>
      <c r="BV12" s="2892"/>
      <c r="BW12" s="2893"/>
      <c r="BX12" s="2894"/>
      <c r="BY12" s="2895"/>
      <c r="BZ12" s="2896"/>
      <c r="CA12" s="2897"/>
      <c r="CB12" s="2898"/>
      <c r="CC12" s="2899"/>
      <c r="CD12" s="2900"/>
      <c r="CE12" s="2901"/>
      <c r="CF12" s="2902"/>
      <c r="CG12" s="2903"/>
      <c r="CH12" s="2904"/>
      <c r="CI12" s="2905"/>
      <c r="CJ12" s="2906"/>
      <c r="CK12" s="2907"/>
      <c r="CL12" s="2908"/>
      <c r="CM12" s="2909"/>
      <c r="CN12" s="2910"/>
      <c r="CO12" s="2911"/>
      <c r="CP12" s="2912"/>
      <c r="CQ12" s="2913"/>
      <c r="CR12" s="2914"/>
      <c r="CS12" s="2915"/>
      <c r="CT12" s="2916"/>
      <c r="CU12" s="2917"/>
      <c r="CV12" s="2918"/>
      <c r="CW12" s="2919"/>
      <c r="CX12" s="2920"/>
      <c r="CY12" s="2921"/>
      <c r="CZ12" s="2922"/>
      <c r="DA12" s="2923"/>
      <c r="DB12" s="2924"/>
      <c r="DC12" s="2925"/>
      <c r="DD12" s="2926"/>
      <c r="DE12" s="2927"/>
      <c r="DF12" s="2928"/>
      <c r="DG12" s="2929"/>
      <c r="DH12" s="2930"/>
      <c r="DI12" s="2931"/>
      <c r="DJ12" s="2932"/>
      <c r="DK12" s="2933"/>
      <c r="DL12" s="2934"/>
      <c r="DM12" s="2935"/>
      <c r="DN12" s="2936"/>
      <c r="DO12" s="2937"/>
      <c r="DP12" s="2938"/>
      <c r="DQ12" s="2939"/>
      <c r="DR12" s="2940"/>
      <c r="DS12" s="2941"/>
      <c r="DT12" s="2942"/>
      <c r="DU12" s="2943"/>
      <c r="DV12" s="367"/>
      <c r="DW12" s="303"/>
      <c r="DY12" s="500"/>
      <c r="DZ12" s="500" t="str">
        <f>IF(T12="","",T12)</f>
        <v>Добавить схему подключения</v>
      </c>
      <c r="EA12" s="500"/>
      <c r="EB12" s="500"/>
      <c r="EC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172</v>
      </c>
      <c r="U13" s="1320"/>
      <c r="V13" s="1320"/>
      <c r="W13" s="1320"/>
      <c r="X13" s="1320"/>
      <c r="Y13" s="1320"/>
      <c r="Z13" s="1320"/>
      <c r="AA13" s="1320"/>
      <c r="AB13" s="1320"/>
      <c r="AC13" s="1320"/>
      <c r="AD13" s="1320"/>
      <c r="AE13" s="1320"/>
      <c r="AF13" s="1320"/>
      <c r="AG13" s="1320"/>
      <c r="AH13" s="1320"/>
      <c r="AI13" s="1320"/>
      <c r="AJ13" s="1320"/>
      <c r="AK13" s="1320"/>
      <c r="AL13" s="1320"/>
      <c r="AM13" s="1320"/>
      <c r="AN13" s="1320"/>
      <c r="AO13" s="1320"/>
      <c r="AP13" s="1320"/>
      <c r="AQ13" s="1320"/>
      <c r="AR13" s="1320"/>
      <c r="AS13" s="1320"/>
      <c r="AT13" s="1320"/>
      <c r="AU13" s="1320"/>
      <c r="AV13" s="1320"/>
      <c r="AW13" s="1320"/>
      <c r="AX13" s="1320"/>
      <c r="AY13" s="1320"/>
      <c r="AZ13" s="1320"/>
      <c r="BA13" s="1320"/>
      <c r="BB13" s="1320"/>
      <c r="BC13" s="1320"/>
      <c r="BD13" s="1320"/>
      <c r="BE13" s="1320"/>
      <c r="BF13" s="1320"/>
      <c r="BG13" s="1320"/>
      <c r="BH13" s="1320"/>
      <c r="BI13" s="1320"/>
      <c r="BJ13" s="1320"/>
      <c r="BK13" s="1320"/>
      <c r="BL13" s="1320"/>
      <c r="BM13" s="1320"/>
      <c r="BN13" s="1320"/>
      <c r="BO13" s="1320"/>
      <c r="BP13" s="1320"/>
      <c r="BQ13" s="1320"/>
      <c r="BR13" s="1320"/>
      <c r="BS13" s="1320"/>
      <c r="BT13" s="1320"/>
      <c r="BU13" s="1320"/>
      <c r="BV13" s="1320"/>
      <c r="BW13" s="1320"/>
      <c r="BX13" s="1320"/>
      <c r="BY13" s="1320"/>
      <c r="BZ13" s="1320"/>
      <c r="CA13" s="1320"/>
      <c r="CB13" s="1320"/>
      <c r="CC13" s="1320"/>
      <c r="CD13" s="1320"/>
      <c r="CE13" s="1320"/>
      <c r="CF13" s="1320"/>
      <c r="CG13" s="1320"/>
      <c r="CH13" s="1320"/>
      <c r="CI13" s="1320"/>
      <c r="CJ13" s="1320"/>
      <c r="CK13" s="1320"/>
      <c r="CL13" s="1320"/>
      <c r="CM13" s="1320"/>
      <c r="CN13" s="1320"/>
      <c r="CO13" s="1320"/>
      <c r="CP13" s="1320"/>
      <c r="CQ13" s="1320"/>
      <c r="CR13" s="1320"/>
      <c r="CS13" s="1320"/>
      <c r="CT13" s="1320"/>
      <c r="CU13" s="1320"/>
      <c r="CV13" s="1320"/>
      <c r="CW13" s="1320"/>
      <c r="CX13" s="1320"/>
      <c r="CY13" s="1320"/>
      <c r="CZ13" s="1320"/>
      <c r="DA13" s="1320"/>
      <c r="DB13" s="1320"/>
      <c r="DC13" s="1320"/>
      <c r="DD13" s="1320"/>
      <c r="DE13" s="1320"/>
      <c r="DF13" s="1320"/>
      <c r="DG13" s="1320"/>
      <c r="DH13" s="1320"/>
      <c r="DI13" s="1320"/>
      <c r="DJ13" s="1320"/>
      <c r="DK13" s="1320"/>
      <c r="DL13" s="1320"/>
      <c r="DM13" s="1320"/>
      <c r="DN13" s="1320"/>
      <c r="DO13" s="1320"/>
      <c r="DP13" s="1320"/>
      <c r="DQ13" s="1320"/>
      <c r="DR13" s="1320"/>
      <c r="DS13" s="1320"/>
      <c r="DT13" s="1320"/>
      <c r="DU13" s="1320"/>
      <c r="DV13" s="1320"/>
      <c r="DW13" s="1320"/>
      <c r="DY13" s="789"/>
      <c r="DZ13" s="789" t="str">
        <f>IF(T13="","",T13)</f>
        <v>Добавить источник для дифференциации</v>
      </c>
      <c r="EA13" s="789"/>
      <c r="EB13" s="789"/>
      <c r="EC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173</v>
      </c>
      <c r="U14" s="1324"/>
      <c r="V14" s="1324"/>
      <c r="W14" s="1324"/>
      <c r="X14" s="1324"/>
      <c r="Y14" s="1324"/>
      <c r="Z14" s="1324"/>
      <c r="AA14" s="1324"/>
      <c r="AB14" s="1324"/>
      <c r="AC14" s="1324"/>
      <c r="AD14" s="1324"/>
      <c r="AE14" s="1324"/>
      <c r="AF14" s="1324"/>
      <c r="AG14" s="1324"/>
      <c r="AH14" s="1324"/>
      <c r="AI14" s="1324"/>
      <c r="AJ14" s="1324"/>
      <c r="AK14" s="1324"/>
      <c r="AL14" s="1324"/>
      <c r="AM14" s="1324"/>
      <c r="AN14" s="1324"/>
      <c r="AO14" s="1324"/>
      <c r="AP14" s="1324"/>
      <c r="AQ14" s="1324"/>
      <c r="AR14" s="1324"/>
      <c r="AS14" s="1324"/>
      <c r="AT14" s="1324"/>
      <c r="AU14" s="1324"/>
      <c r="AV14" s="1324"/>
      <c r="AW14" s="1324"/>
      <c r="AX14" s="1324"/>
      <c r="AY14" s="1324"/>
      <c r="AZ14" s="1324"/>
      <c r="BA14" s="1324"/>
      <c r="BB14" s="1324"/>
      <c r="BC14" s="1324"/>
      <c r="BD14" s="1324"/>
      <c r="BE14" s="1324"/>
      <c r="BF14" s="1324"/>
      <c r="BG14" s="1324"/>
      <c r="BH14" s="1324"/>
      <c r="BI14" s="1324"/>
      <c r="BJ14" s="1324"/>
      <c r="BK14" s="1324"/>
      <c r="BL14" s="1324"/>
      <c r="BM14" s="1324"/>
      <c r="BN14" s="1324"/>
      <c r="BO14" s="1324"/>
      <c r="BP14" s="1324"/>
      <c r="BQ14" s="1324"/>
      <c r="BR14" s="1324"/>
      <c r="BS14" s="1324"/>
      <c r="BT14" s="1324"/>
      <c r="BU14" s="1324"/>
      <c r="BV14" s="1324"/>
      <c r="BW14" s="1324"/>
      <c r="BX14" s="1324"/>
      <c r="BY14" s="1324"/>
      <c r="BZ14" s="1324"/>
      <c r="CA14" s="1324"/>
      <c r="CB14" s="1324"/>
      <c r="CC14" s="1324"/>
      <c r="CD14" s="1324"/>
      <c r="CE14" s="1324"/>
      <c r="CF14" s="1324"/>
      <c r="CG14" s="1324"/>
      <c r="CH14" s="1324"/>
      <c r="CI14" s="1324"/>
      <c r="CJ14" s="1324"/>
      <c r="CK14" s="1324"/>
      <c r="CL14" s="1324"/>
      <c r="CM14" s="1324"/>
      <c r="CN14" s="1324"/>
      <c r="CO14" s="1324"/>
      <c r="CP14" s="1324"/>
      <c r="CQ14" s="1324"/>
      <c r="CR14" s="1324"/>
      <c r="CS14" s="1324"/>
      <c r="CT14" s="1324"/>
      <c r="CU14" s="1324"/>
      <c r="CV14" s="1324"/>
      <c r="CW14" s="1324"/>
      <c r="CX14" s="1324"/>
      <c r="CY14" s="1324"/>
      <c r="CZ14" s="1324"/>
      <c r="DA14" s="1324"/>
      <c r="DB14" s="1324"/>
      <c r="DC14" s="1324"/>
      <c r="DD14" s="1324"/>
      <c r="DE14" s="1324"/>
      <c r="DF14" s="1324"/>
      <c r="DG14" s="1324"/>
      <c r="DH14" s="1324"/>
      <c r="DI14" s="1324"/>
      <c r="DJ14" s="1324"/>
      <c r="DK14" s="1324"/>
      <c r="DL14" s="1324"/>
      <c r="DM14" s="1324"/>
      <c r="DN14" s="1324"/>
      <c r="DO14" s="1324"/>
      <c r="DP14" s="1324"/>
      <c r="DQ14" s="1324"/>
      <c r="DR14" s="1324"/>
      <c r="DS14" s="1324"/>
      <c r="DT14" s="1324"/>
      <c r="DU14" s="1324"/>
      <c r="DV14" s="1324"/>
      <c r="DW14" s="1324"/>
      <c r="DY14" s="789"/>
      <c r="DZ14" s="789" t="str">
        <f>IF(T14="","",T14)</f>
        <v>Добавить централизованную систему для дифференциации</v>
      </c>
      <c r="EA14" s="789"/>
      <c r="EB14" s="789"/>
      <c r="EC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174</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V15" s="1324"/>
      <c r="AW15" s="1324"/>
      <c r="AX15" s="1324"/>
      <c r="AY15" s="1324"/>
      <c r="AZ15" s="1324"/>
      <c r="BA15" s="1324"/>
      <c r="BB15" s="1324"/>
      <c r="BC15" s="1324"/>
      <c r="BD15" s="1324"/>
      <c r="BE15" s="1324"/>
      <c r="BF15" s="1324"/>
      <c r="BG15" s="1324"/>
      <c r="BH15" s="1324"/>
      <c r="BI15" s="1324"/>
      <c r="BJ15" s="1324"/>
      <c r="BK15" s="1324"/>
      <c r="BL15" s="1324"/>
      <c r="BM15" s="1324"/>
      <c r="BN15" s="1324"/>
      <c r="BO15" s="1324"/>
      <c r="BP15" s="1324"/>
      <c r="BQ15" s="1324"/>
      <c r="BR15" s="1324"/>
      <c r="BS15" s="1324"/>
      <c r="BT15" s="1324"/>
      <c r="BU15" s="1324"/>
      <c r="BV15" s="1324"/>
      <c r="BW15" s="1324"/>
      <c r="BX15" s="1324"/>
      <c r="BY15" s="1324"/>
      <c r="BZ15" s="1324"/>
      <c r="CA15" s="1324"/>
      <c r="CB15" s="1324"/>
      <c r="CC15" s="1324"/>
      <c r="CD15" s="1324"/>
      <c r="CE15" s="1324"/>
      <c r="CF15" s="1324"/>
      <c r="CG15" s="1324"/>
      <c r="CH15" s="1324"/>
      <c r="CI15" s="1324"/>
      <c r="CJ15" s="1324"/>
      <c r="CK15" s="1324"/>
      <c r="CL15" s="1324"/>
      <c r="CM15" s="1324"/>
      <c r="CN15" s="1324"/>
      <c r="CO15" s="1324"/>
      <c r="CP15" s="1324"/>
      <c r="CQ15" s="1324"/>
      <c r="CR15" s="1324"/>
      <c r="CS15" s="1324"/>
      <c r="CT15" s="1324"/>
      <c r="CU15" s="1324"/>
      <c r="CV15" s="1324"/>
      <c r="CW15" s="1324"/>
      <c r="CX15" s="1324"/>
      <c r="CY15" s="1324"/>
      <c r="CZ15" s="1324"/>
      <c r="DA15" s="1324"/>
      <c r="DB15" s="1324"/>
      <c r="DC15" s="1324"/>
      <c r="DD15" s="1324"/>
      <c r="DE15" s="1324"/>
      <c r="DF15" s="1324"/>
      <c r="DG15" s="1324"/>
      <c r="DH15" s="1324"/>
      <c r="DI15" s="1324"/>
      <c r="DJ15" s="1324"/>
      <c r="DK15" s="1324"/>
      <c r="DL15" s="1324"/>
      <c r="DM15" s="1324"/>
      <c r="DN15" s="1324"/>
      <c r="DO15" s="1324"/>
      <c r="DP15" s="1324"/>
      <c r="DQ15" s="1324"/>
      <c r="DR15" s="1324"/>
      <c r="DS15" s="1324"/>
      <c r="DT15" s="1324"/>
      <c r="DU15" s="1324"/>
      <c r="DV15" s="1324"/>
      <c r="DW15" s="1324"/>
      <c r="DY15" s="789"/>
      <c r="DZ15" s="789" t="str">
        <f>IF(T15="","",T15)</f>
        <v>Добавить территорию для дифференциации</v>
      </c>
      <c r="EA15" s="789"/>
      <c r="EB15" s="789"/>
      <c r="EC15" s="518">
        <v>0</v>
      </c>
    </row>
    <row customHeight="1" ht="14.25" hidden="1">
      <c r="AC16" s="327"/>
      <c r="AK16" s="327"/>
      <c r="AL16" s="1635"/>
      <c r="AM16" s="1635"/>
      <c r="AN16" s="1635"/>
      <c r="AO16" s="1635"/>
      <c r="AP16" s="1635"/>
      <c r="AQ16" s="1635"/>
      <c r="AR16" s="1635"/>
      <c r="AS16" s="1635"/>
      <c r="AT16" s="1635"/>
      <c r="AU16" s="1635"/>
      <c r="AV16" s="1635"/>
      <c r="AW16" s="1635"/>
      <c r="AX16" s="1635"/>
      <c r="AY16" s="1635"/>
      <c r="AZ16" s="1635"/>
      <c r="BA16" s="1635"/>
      <c r="BB16" s="1635"/>
      <c r="BC16" s="1635"/>
      <c r="BD16" s="1635"/>
      <c r="BE16" s="1635"/>
      <c r="BF16" s="1635"/>
      <c r="BG16" s="1635"/>
      <c r="BH16" s="1635"/>
      <c r="BI16" s="1635"/>
      <c r="BJ16" s="1635"/>
      <c r="BK16" s="1635"/>
      <c r="BL16" s="1635"/>
      <c r="BM16" s="1635"/>
      <c r="BN16" s="1635"/>
      <c r="BO16" s="1635"/>
      <c r="BP16" s="1635"/>
      <c r="BQ16" s="1635"/>
      <c r="BR16" s="1635"/>
      <c r="BS16" s="1635"/>
      <c r="BT16" s="1635"/>
      <c r="BU16" s="1635"/>
      <c r="BV16" s="1635"/>
      <c r="BW16" s="1635"/>
      <c r="BX16" s="1635"/>
      <c r="BY16" s="1635"/>
      <c r="BZ16" s="1635"/>
      <c r="CA16" s="1635"/>
      <c r="CB16" s="1635"/>
      <c r="CC16" s="1635"/>
      <c r="CD16" s="1635"/>
      <c r="CE16" s="1635"/>
      <c r="CF16" s="1635"/>
      <c r="CG16" s="1635"/>
      <c r="CH16" s="1635"/>
      <c r="CI16" s="1635"/>
      <c r="CJ16" s="1635"/>
      <c r="CK16" s="1635"/>
      <c r="CL16" s="1635"/>
      <c r="CM16" s="1635"/>
      <c r="CN16" s="1635"/>
      <c r="CO16" s="1635"/>
      <c r="CP16" s="1635"/>
      <c r="CQ16" s="1635"/>
      <c r="CR16" s="1635"/>
      <c r="CS16" s="1635"/>
      <c r="CT16" s="1635"/>
      <c r="CU16" s="1635"/>
      <c r="CV16" s="1635"/>
      <c r="CW16" s="1635"/>
      <c r="CX16" s="1635"/>
      <c r="CY16" s="1635"/>
      <c r="CZ16" s="1635"/>
      <c r="DA16" s="1635"/>
      <c r="DB16" s="1635"/>
      <c r="DC16" s="1635"/>
      <c r="DD16" s="1635"/>
      <c r="DE16" s="1635"/>
      <c r="DF16" s="1635"/>
      <c r="DG16" s="1635"/>
      <c r="DH16" s="1635"/>
      <c r="DI16" s="1635"/>
      <c r="DJ16" s="1635"/>
      <c r="DK16" s="1635"/>
      <c r="DL16" s="1635"/>
      <c r="DM16" s="1635"/>
      <c r="DN16" s="1635"/>
      <c r="DO16" s="1635"/>
      <c r="DP16" s="1635"/>
      <c r="DQ16" s="1635"/>
      <c r="DR16" s="1635"/>
      <c r="DS16" s="1635"/>
      <c r="DT16" s="1635"/>
      <c r="DU16" s="1635"/>
      <c r="EC16" s="1155">
        <v>0</v>
      </c>
    </row>
    <row customHeight="1" ht="14.25" hidden="1">
      <c r="AD17" s="1360"/>
      <c r="AE17" s="1360"/>
      <c r="AF17" s="1360"/>
      <c r="AG17" s="1361"/>
      <c r="AH17" s="2267"/>
      <c r="AI17" s="2268" t="s">
        <v>70</v>
      </c>
      <c r="AJ17" s="2267"/>
      <c r="AK17" s="2268" t="s">
        <v>70</v>
      </c>
      <c r="AL17" s="1635"/>
      <c r="AM17" s="1635"/>
      <c r="AN17" s="1635"/>
      <c r="AO17" s="1635"/>
      <c r="AP17" s="1635"/>
      <c r="AQ17" s="1635"/>
      <c r="AR17" s="1635"/>
      <c r="AS17" s="1635"/>
      <c r="AT17" s="1635"/>
      <c r="AU17" s="1635"/>
      <c r="AV17" s="1635"/>
      <c r="AW17" s="1635"/>
      <c r="AX17" s="1635"/>
      <c r="AY17" s="1635"/>
      <c r="AZ17" s="1635"/>
      <c r="BA17" s="1635"/>
      <c r="BB17" s="1635"/>
      <c r="BC17" s="1635"/>
      <c r="BD17" s="1635"/>
      <c r="BE17" s="1635"/>
      <c r="BF17" s="1635"/>
      <c r="BG17" s="1635"/>
      <c r="BH17" s="1635"/>
      <c r="BI17" s="1635"/>
      <c r="BJ17" s="1635"/>
      <c r="BK17" s="1635"/>
      <c r="BL17" s="1635"/>
      <c r="BM17" s="1635"/>
      <c r="BN17" s="1635"/>
      <c r="BO17" s="1635"/>
      <c r="BP17" s="1635"/>
      <c r="BQ17" s="1635"/>
      <c r="BR17" s="1635"/>
      <c r="BS17" s="1635"/>
      <c r="BT17" s="1635"/>
      <c r="BU17" s="1635"/>
      <c r="BV17" s="1635"/>
      <c r="BW17" s="1635"/>
      <c r="BX17" s="1635"/>
      <c r="BY17" s="1635"/>
      <c r="BZ17" s="1635"/>
      <c r="CA17" s="1635"/>
      <c r="CB17" s="1635"/>
      <c r="CC17" s="1635"/>
      <c r="CD17" s="1635"/>
      <c r="CE17" s="1635"/>
      <c r="CF17" s="1635"/>
      <c r="CG17" s="1635"/>
      <c r="CH17" s="1635"/>
      <c r="CI17" s="1635"/>
      <c r="CJ17" s="1635"/>
      <c r="CK17" s="1635"/>
      <c r="CL17" s="1635"/>
      <c r="CM17" s="1635"/>
      <c r="CN17" s="1635"/>
      <c r="CO17" s="1635"/>
      <c r="CP17" s="1635"/>
      <c r="CQ17" s="1635"/>
      <c r="CR17" s="1635"/>
      <c r="CS17" s="1635"/>
      <c r="CT17" s="1635"/>
      <c r="CU17" s="1635"/>
      <c r="CV17" s="1635"/>
      <c r="CW17" s="1635"/>
      <c r="CX17" s="1635"/>
      <c r="CY17" s="1635"/>
      <c r="CZ17" s="1635"/>
      <c r="DA17" s="1635"/>
      <c r="DB17" s="1635"/>
      <c r="DC17" s="1635"/>
      <c r="DD17" s="1635"/>
      <c r="DE17" s="1635"/>
      <c r="DF17" s="1635"/>
      <c r="DG17" s="1635"/>
      <c r="DH17" s="1635"/>
      <c r="DI17" s="1635"/>
      <c r="DJ17" s="1635"/>
      <c r="DK17" s="1635"/>
      <c r="DL17" s="1635"/>
      <c r="DM17" s="1635"/>
      <c r="DN17" s="1635"/>
      <c r="DO17" s="1635"/>
      <c r="DP17" s="1635"/>
      <c r="DQ17" s="1635"/>
      <c r="DR17" s="1635"/>
      <c r="DS17" s="1635"/>
      <c r="DT17" s="1635"/>
      <c r="DU17" s="1635"/>
      <c r="EC17" s="1155">
        <v>0</v>
      </c>
    </row>
    <row customHeight="1" ht="14.25" hidden="1">
      <c r="AD18" s="1360"/>
      <c r="AE18" s="1360"/>
      <c r="AF18" s="1360"/>
      <c r="AG18" s="328" t="str">
        <f>AH17&amp;"-"&amp;AJ17</f>
        <v>-</v>
      </c>
      <c r="AH18" s="2268"/>
      <c r="AI18" s="2268"/>
      <c r="AJ18" s="2268"/>
      <c r="AK18" s="2268"/>
      <c r="AL18" s="1635"/>
      <c r="AM18" s="1635"/>
      <c r="AN18" s="1635"/>
      <c r="AO18" s="1635"/>
      <c r="AP18" s="1635"/>
      <c r="AQ18" s="1635"/>
      <c r="AR18" s="1635"/>
      <c r="AS18" s="1635"/>
      <c r="AT18" s="1635"/>
      <c r="AU18" s="1635"/>
      <c r="AV18" s="1635"/>
      <c r="AW18" s="1635"/>
      <c r="AX18" s="1635"/>
      <c r="AY18" s="1635"/>
      <c r="AZ18" s="1635"/>
      <c r="BA18" s="1635"/>
      <c r="BB18" s="1635"/>
      <c r="BC18" s="1635"/>
      <c r="BD18" s="1635"/>
      <c r="BE18" s="1635"/>
      <c r="BF18" s="1635"/>
      <c r="BG18" s="1635"/>
      <c r="BH18" s="1635"/>
      <c r="BI18" s="1635"/>
      <c r="BJ18" s="1635"/>
      <c r="BK18" s="1635"/>
      <c r="BL18" s="1635"/>
      <c r="BM18" s="1635"/>
      <c r="BN18" s="1635"/>
      <c r="BO18" s="1635"/>
      <c r="BP18" s="1635"/>
      <c r="BQ18" s="1635"/>
      <c r="BR18" s="1635"/>
      <c r="BS18" s="1635"/>
      <c r="BT18" s="1635"/>
      <c r="BU18" s="1635"/>
      <c r="BV18" s="1635"/>
      <c r="BW18" s="1635"/>
      <c r="BX18" s="1635"/>
      <c r="BY18" s="1635"/>
      <c r="BZ18" s="1635"/>
      <c r="CA18" s="1635"/>
      <c r="CB18" s="1635"/>
      <c r="CC18" s="1635"/>
      <c r="CD18" s="1635"/>
      <c r="CE18" s="1635"/>
      <c r="CF18" s="1635"/>
      <c r="CG18" s="1635"/>
      <c r="CH18" s="1635"/>
      <c r="CI18" s="1635"/>
      <c r="CJ18" s="1635"/>
      <c r="CK18" s="1635"/>
      <c r="CL18" s="1635"/>
      <c r="CM18" s="1635"/>
      <c r="CN18" s="1635"/>
      <c r="CO18" s="1635"/>
      <c r="CP18" s="1635"/>
      <c r="CQ18" s="1635"/>
      <c r="CR18" s="1635"/>
      <c r="CS18" s="1635"/>
      <c r="CT18" s="1635"/>
      <c r="CU18" s="1635"/>
      <c r="CV18" s="1635"/>
      <c r="CW18" s="1635"/>
      <c r="CX18" s="1635"/>
      <c r="CY18" s="1635"/>
      <c r="CZ18" s="1635"/>
      <c r="DA18" s="1635"/>
      <c r="DB18" s="1635"/>
      <c r="DC18" s="1635"/>
      <c r="DD18" s="1635"/>
      <c r="DE18" s="1635"/>
      <c r="DF18" s="1635"/>
      <c r="DG18" s="1635"/>
      <c r="DH18" s="1635"/>
      <c r="DI18" s="1635"/>
      <c r="DJ18" s="1635"/>
      <c r="DK18" s="1635"/>
      <c r="DL18" s="1635"/>
      <c r="DM18" s="1635"/>
      <c r="DN18" s="1635"/>
      <c r="DO18" s="1635"/>
      <c r="DP18" s="1635"/>
      <c r="DQ18" s="1635"/>
      <c r="DR18" s="1635"/>
      <c r="DS18" s="1635"/>
      <c r="DT18" s="1635"/>
      <c r="DU18" s="1635"/>
      <c r="EC18" s="1155">
        <v>0</v>
      </c>
    </row>
    <row customHeight="1" ht="14.25" hidden="1">
      <c r="AK19" s="327"/>
      <c r="AL19" s="1635"/>
      <c r="AM19" s="1635"/>
      <c r="AN19" s="1635"/>
      <c r="AO19" s="1635"/>
      <c r="AP19" s="1635"/>
      <c r="AQ19" s="1635"/>
      <c r="AR19" s="1635"/>
      <c r="AS19" s="1635"/>
      <c r="AT19" s="1635"/>
      <c r="AU19" s="1635"/>
      <c r="AV19" s="1635"/>
      <c r="AW19" s="1635"/>
      <c r="AX19" s="1635"/>
      <c r="AY19" s="1635"/>
      <c r="AZ19" s="1635"/>
      <c r="BA19" s="1635"/>
      <c r="BB19" s="1635"/>
      <c r="BC19" s="1635"/>
      <c r="BD19" s="1635"/>
      <c r="BE19" s="1635"/>
      <c r="BF19" s="1635"/>
      <c r="BG19" s="1635"/>
      <c r="BH19" s="1635"/>
      <c r="BI19" s="1635"/>
      <c r="BJ19" s="1635"/>
      <c r="BK19" s="1635"/>
      <c r="BL19" s="1635"/>
      <c r="BM19" s="1635"/>
      <c r="BN19" s="1635"/>
      <c r="BO19" s="1635"/>
      <c r="BP19" s="1635"/>
      <c r="BQ19" s="1635"/>
      <c r="BR19" s="1635"/>
      <c r="BS19" s="1635"/>
      <c r="BT19" s="1635"/>
      <c r="BU19" s="1635"/>
      <c r="BV19" s="1635"/>
      <c r="BW19" s="1635"/>
      <c r="BX19" s="1635"/>
      <c r="BY19" s="1635"/>
      <c r="BZ19" s="1635"/>
      <c r="CA19" s="1635"/>
      <c r="CB19" s="1635"/>
      <c r="CC19" s="1635"/>
      <c r="CD19" s="1635"/>
      <c r="CE19" s="1635"/>
      <c r="CF19" s="1635"/>
      <c r="CG19" s="1635"/>
      <c r="CH19" s="1635"/>
      <c r="CI19" s="1635"/>
      <c r="CJ19" s="1635"/>
      <c r="CK19" s="1635"/>
      <c r="CL19" s="1635"/>
      <c r="CM19" s="1635"/>
      <c r="CN19" s="1635"/>
      <c r="CO19" s="1635"/>
      <c r="CP19" s="1635"/>
      <c r="CQ19" s="1635"/>
      <c r="CR19" s="1635"/>
      <c r="CS19" s="1635"/>
      <c r="CT19" s="1635"/>
      <c r="CU19" s="1635"/>
      <c r="CV19" s="1635"/>
      <c r="CW19" s="1635"/>
      <c r="CX19" s="1635"/>
      <c r="CY19" s="1635"/>
      <c r="CZ19" s="1635"/>
      <c r="DA19" s="1635"/>
      <c r="DB19" s="1635"/>
      <c r="DC19" s="1635"/>
      <c r="DD19" s="1635"/>
      <c r="DE19" s="1635"/>
      <c r="DF19" s="1635"/>
      <c r="DG19" s="1635"/>
      <c r="DH19" s="1635"/>
      <c r="DI19" s="1635"/>
      <c r="DJ19" s="1635"/>
      <c r="DK19" s="1635"/>
      <c r="DL19" s="1635"/>
      <c r="DM19" s="1635"/>
      <c r="DN19" s="1635"/>
      <c r="DO19" s="1635"/>
      <c r="DP19" s="1635"/>
      <c r="DQ19" s="1635"/>
      <c r="DR19" s="1635"/>
      <c r="DS19" s="1635"/>
      <c r="DT19" s="1635"/>
      <c r="DU19" s="1635"/>
      <c r="EC19" s="1155">
        <v>0</v>
      </c>
    </row>
    <row s="1366" customFormat="1" customHeight="1" ht="22.5" hidden="1">
      <c r="L20" s="1329"/>
      <c r="M20" s="1362"/>
      <c r="N20" s="1362"/>
      <c r="O20" s="1367" t="s">
        <v>422</v>
      </c>
      <c r="P20" s="1362"/>
      <c r="Q20" s="1371"/>
      <c r="R20" s="1371"/>
      <c r="S20" s="729"/>
      <c r="Z20" s="1367"/>
      <c r="AB20" s="1367"/>
      <c r="AC20" s="1366"/>
      <c r="AH20" s="1367"/>
      <c r="AJ20" s="1367"/>
      <c r="AK20" s="1366"/>
      <c r="AL20" s="1366"/>
      <c r="AM20" s="1366"/>
      <c r="AN20" s="1366"/>
      <c r="AO20" s="1366"/>
      <c r="AP20" s="1367"/>
      <c r="AQ20" s="1366"/>
      <c r="AR20" s="1367"/>
      <c r="AS20" s="1366"/>
      <c r="AT20" s="1366"/>
      <c r="AU20" s="1366"/>
      <c r="AV20" s="1366"/>
      <c r="AW20" s="1366"/>
      <c r="AX20" s="1367"/>
      <c r="AY20" s="1366"/>
      <c r="AZ20" s="1367"/>
      <c r="BA20" s="1366"/>
      <c r="BB20" s="1366"/>
      <c r="BC20" s="1366"/>
      <c r="BD20" s="1366"/>
      <c r="BE20" s="1366"/>
      <c r="BF20" s="1367"/>
      <c r="BG20" s="1366"/>
      <c r="BH20" s="1367"/>
      <c r="BI20" s="1366"/>
      <c r="BJ20" s="1366"/>
      <c r="BK20" s="1366"/>
      <c r="BL20" s="1366"/>
      <c r="BM20" s="1366"/>
      <c r="BN20" s="1367"/>
      <c r="BO20" s="1366"/>
      <c r="BP20" s="1367"/>
      <c r="BQ20" s="1366"/>
      <c r="BR20" s="1366"/>
      <c r="BS20" s="1366"/>
      <c r="BT20" s="1366"/>
      <c r="BU20" s="1366"/>
      <c r="BV20" s="1367"/>
      <c r="BW20" s="1366"/>
      <c r="BX20" s="1367"/>
      <c r="BY20" s="1366"/>
      <c r="BZ20" s="1366"/>
      <c r="CA20" s="1366"/>
      <c r="CB20" s="1366"/>
      <c r="CC20" s="1366"/>
      <c r="CD20" s="1367"/>
      <c r="CE20" s="1366"/>
      <c r="CF20" s="1367"/>
      <c r="CG20" s="1366"/>
      <c r="CH20" s="1366"/>
      <c r="CI20" s="1366"/>
      <c r="CJ20" s="1366"/>
      <c r="CK20" s="1366"/>
      <c r="CL20" s="1367"/>
      <c r="CM20" s="1366"/>
      <c r="CN20" s="1367"/>
      <c r="CO20" s="1366"/>
      <c r="CP20" s="1366"/>
      <c r="CQ20" s="1366"/>
      <c r="CR20" s="1366"/>
      <c r="CS20" s="1366"/>
      <c r="CT20" s="1367"/>
      <c r="CU20" s="1366"/>
      <c r="CV20" s="1367"/>
      <c r="CW20" s="1366"/>
      <c r="CX20" s="1366"/>
      <c r="CY20" s="1366"/>
      <c r="CZ20" s="1366"/>
      <c r="DA20" s="1366"/>
      <c r="DB20" s="1367"/>
      <c r="DC20" s="1366"/>
      <c r="DD20" s="1367"/>
      <c r="DE20" s="1366"/>
      <c r="DF20" s="1366"/>
      <c r="DG20" s="1366"/>
      <c r="DH20" s="1366"/>
      <c r="DI20" s="1366"/>
      <c r="DJ20" s="1367"/>
      <c r="DK20" s="1366"/>
      <c r="DL20" s="1367"/>
      <c r="DM20" s="1366"/>
      <c r="DN20" s="1366"/>
      <c r="DO20" s="1366"/>
      <c r="DP20" s="1366"/>
      <c r="DQ20" s="1366"/>
      <c r="DR20" s="1367"/>
      <c r="DS20" s="1366"/>
      <c r="DT20" s="1367"/>
      <c r="DU20" s="1366"/>
      <c r="DX20" s="511"/>
      <c r="DY20" s="511"/>
      <c r="DZ20" s="511"/>
      <c r="EA20" s="511"/>
      <c r="EB20" s="511"/>
      <c r="EC20" s="1160">
        <v>0</v>
      </c>
    </row>
    <row s="1366" customFormat="1" customHeight="1" ht="14.25" hidden="1">
      <c r="L21" s="1329"/>
      <c r="M21" s="1362"/>
      <c r="N21" s="1362"/>
      <c r="O21" s="1362"/>
      <c r="P21" s="1362"/>
      <c r="Q21" s="1371"/>
      <c r="R21" s="1371"/>
      <c r="S21" s="729"/>
      <c r="AC21" s="1366"/>
      <c r="AK21" s="1366"/>
      <c r="AL21" s="1366"/>
      <c r="AM21" s="1366"/>
      <c r="AN21" s="1366"/>
      <c r="AO21" s="1366"/>
      <c r="AP21" s="1366"/>
      <c r="AQ21" s="1366"/>
      <c r="AR21" s="1366"/>
      <c r="AS21" s="1366"/>
      <c r="AT21" s="1366"/>
      <c r="AU21" s="1366"/>
      <c r="AV21" s="1366"/>
      <c r="AW21" s="1366"/>
      <c r="AX21" s="1366"/>
      <c r="AY21" s="1366"/>
      <c r="AZ21" s="1366"/>
      <c r="BA21" s="1366"/>
      <c r="BB21" s="1366"/>
      <c r="BC21" s="1366"/>
      <c r="BD21" s="1366"/>
      <c r="BE21" s="1366"/>
      <c r="BF21" s="1366"/>
      <c r="BG21" s="1366"/>
      <c r="BH21" s="1366"/>
      <c r="BI21" s="1366"/>
      <c r="BJ21" s="1366"/>
      <c r="BK21" s="1366"/>
      <c r="BL21" s="1366"/>
      <c r="BM21" s="1366"/>
      <c r="BN21" s="1366"/>
      <c r="BO21" s="1366"/>
      <c r="BP21" s="1366"/>
      <c r="BQ21" s="1366"/>
      <c r="BR21" s="1366"/>
      <c r="BS21" s="1366"/>
      <c r="BT21" s="1366"/>
      <c r="BU21" s="1366"/>
      <c r="BV21" s="1366"/>
      <c r="BW21" s="1366"/>
      <c r="BX21" s="1366"/>
      <c r="BY21" s="1366"/>
      <c r="BZ21" s="1366"/>
      <c r="CA21" s="1366"/>
      <c r="CB21" s="1366"/>
      <c r="CC21" s="1366"/>
      <c r="CD21" s="1366"/>
      <c r="CE21" s="1366"/>
      <c r="CF21" s="1366"/>
      <c r="CG21" s="1366"/>
      <c r="CH21" s="1366"/>
      <c r="CI21" s="1366"/>
      <c r="CJ21" s="1366"/>
      <c r="CK21" s="1366"/>
      <c r="CL21" s="1366"/>
      <c r="CM21" s="1366"/>
      <c r="CN21" s="1366"/>
      <c r="CO21" s="1366"/>
      <c r="CP21" s="1366"/>
      <c r="CQ21" s="1366"/>
      <c r="CR21" s="1366"/>
      <c r="CS21" s="1366"/>
      <c r="CT21" s="1366"/>
      <c r="CU21" s="1366"/>
      <c r="CV21" s="1366"/>
      <c r="CW21" s="1366"/>
      <c r="CX21" s="1366"/>
      <c r="CY21" s="1366"/>
      <c r="CZ21" s="1366"/>
      <c r="DA21" s="1366"/>
      <c r="DB21" s="1366"/>
      <c r="DC21" s="1366"/>
      <c r="DD21" s="1366"/>
      <c r="DE21" s="1366"/>
      <c r="DF21" s="1366"/>
      <c r="DG21" s="1366"/>
      <c r="DH21" s="1366"/>
      <c r="DI21" s="1366"/>
      <c r="DJ21" s="1366"/>
      <c r="DK21" s="1366"/>
      <c r="DL21" s="1366"/>
      <c r="DM21" s="1366"/>
      <c r="DN21" s="1366"/>
      <c r="DO21" s="1366"/>
      <c r="DP21" s="1366"/>
      <c r="DQ21" s="1366"/>
      <c r="DR21" s="1366"/>
      <c r="DS21" s="1366"/>
      <c r="DT21" s="1366"/>
      <c r="DU21" s="1366"/>
      <c r="DX21" s="511"/>
      <c r="DY21" s="511"/>
      <c r="DZ21" s="511"/>
      <c r="EA21" s="511"/>
      <c r="EB21" s="511"/>
      <c r="EC21" s="1160">
        <v>0</v>
      </c>
    </row>
    <row s="1366" customFormat="1" customHeight="1" ht="14.25" hidden="1">
      <c r="L22" s="1329"/>
      <c r="M22" s="1362"/>
      <c r="N22" s="1362"/>
      <c r="O22" s="1364" t="s">
        <v>423</v>
      </c>
      <c r="P22" s="1362"/>
      <c r="Q22" s="1371"/>
      <c r="R22" s="1371"/>
      <c r="S22" s="729"/>
      <c r="T22" s="1160" t="s">
        <v>424</v>
      </c>
      <c r="AA22" s="186" t="s">
        <v>425</v>
      </c>
      <c r="AC22" s="186" t="s">
        <v>426</v>
      </c>
      <c r="AD22" s="1160" t="s">
        <v>424</v>
      </c>
      <c r="AI22" s="186" t="s">
        <v>427</v>
      </c>
      <c r="AK22" s="186" t="s">
        <v>426</v>
      </c>
      <c r="AL22" s="1366"/>
      <c r="AM22" s="1366"/>
      <c r="AN22" s="1366"/>
      <c r="AO22" s="1366"/>
      <c r="AP22" s="1366"/>
      <c r="AQ22" s="1370" t="s">
        <v>425</v>
      </c>
      <c r="AR22" s="1366"/>
      <c r="AS22" s="1370" t="s">
        <v>426</v>
      </c>
      <c r="AT22" s="1366"/>
      <c r="AU22" s="1366"/>
      <c r="AV22" s="1366"/>
      <c r="AW22" s="1366"/>
      <c r="AX22" s="1366"/>
      <c r="AY22" s="1370" t="s">
        <v>425</v>
      </c>
      <c r="AZ22" s="1366"/>
      <c r="BA22" s="1370" t="s">
        <v>426</v>
      </c>
      <c r="BB22" s="1366"/>
      <c r="BC22" s="1366"/>
      <c r="BD22" s="1366"/>
      <c r="BE22" s="1366"/>
      <c r="BF22" s="1366"/>
      <c r="BG22" s="1370" t="s">
        <v>425</v>
      </c>
      <c r="BH22" s="1366"/>
      <c r="BI22" s="1370" t="s">
        <v>426</v>
      </c>
      <c r="BJ22" s="1366"/>
      <c r="BK22" s="1366"/>
      <c r="BL22" s="1366"/>
      <c r="BM22" s="1366"/>
      <c r="BN22" s="1366"/>
      <c r="BO22" s="1370" t="s">
        <v>425</v>
      </c>
      <c r="BP22" s="1366"/>
      <c r="BQ22" s="1370" t="s">
        <v>426</v>
      </c>
      <c r="BR22" s="1366"/>
      <c r="BS22" s="1366"/>
      <c r="BT22" s="1366"/>
      <c r="BU22" s="1366"/>
      <c r="BV22" s="1366"/>
      <c r="BW22" s="1370" t="s">
        <v>425</v>
      </c>
      <c r="BX22" s="1366"/>
      <c r="BY22" s="1370" t="s">
        <v>426</v>
      </c>
      <c r="BZ22" s="1366"/>
      <c r="CA22" s="1366"/>
      <c r="CB22" s="1366"/>
      <c r="CC22" s="1366"/>
      <c r="CD22" s="1366"/>
      <c r="CE22" s="1370" t="s">
        <v>425</v>
      </c>
      <c r="CF22" s="1366"/>
      <c r="CG22" s="1370" t="s">
        <v>426</v>
      </c>
      <c r="CH22" s="1366"/>
      <c r="CI22" s="1366"/>
      <c r="CJ22" s="1366"/>
      <c r="CK22" s="1366"/>
      <c r="CL22" s="1366"/>
      <c r="CM22" s="1370" t="s">
        <v>425</v>
      </c>
      <c r="CN22" s="1366"/>
      <c r="CO22" s="1370" t="s">
        <v>426</v>
      </c>
      <c r="CP22" s="1366"/>
      <c r="CQ22" s="1366"/>
      <c r="CR22" s="1366"/>
      <c r="CS22" s="1366"/>
      <c r="CT22" s="1366"/>
      <c r="CU22" s="1370" t="s">
        <v>425</v>
      </c>
      <c r="CV22" s="1366"/>
      <c r="CW22" s="1370" t="s">
        <v>426</v>
      </c>
      <c r="CX22" s="1366"/>
      <c r="CY22" s="1366"/>
      <c r="CZ22" s="1366"/>
      <c r="DA22" s="1366"/>
      <c r="DB22" s="1366"/>
      <c r="DC22" s="1370" t="s">
        <v>425</v>
      </c>
      <c r="DD22" s="1366"/>
      <c r="DE22" s="1370" t="s">
        <v>426</v>
      </c>
      <c r="DF22" s="1366"/>
      <c r="DG22" s="1366"/>
      <c r="DH22" s="1366"/>
      <c r="DI22" s="1366"/>
      <c r="DJ22" s="1366"/>
      <c r="DK22" s="1370" t="s">
        <v>425</v>
      </c>
      <c r="DL22" s="1366"/>
      <c r="DM22" s="1370" t="s">
        <v>426</v>
      </c>
      <c r="DN22" s="1366"/>
      <c r="DO22" s="1366"/>
      <c r="DP22" s="1366"/>
      <c r="DQ22" s="1366"/>
      <c r="DR22" s="1366"/>
      <c r="DS22" s="1370" t="s">
        <v>425</v>
      </c>
      <c r="DT22" s="1366"/>
      <c r="DU22" s="1370" t="s">
        <v>426</v>
      </c>
      <c r="DX22" s="511"/>
      <c r="DY22" s="511"/>
      <c r="DZ22" s="511"/>
      <c r="EA22" s="511"/>
      <c r="EB22" s="511"/>
      <c r="EC22" s="1160">
        <v>0</v>
      </c>
    </row>
    <row customHeight="1" ht="14.25" hidden="1">
      <c r="O23" s="1364"/>
      <c r="AL23" s="1635"/>
      <c r="AM23" s="1635"/>
      <c r="AN23" s="1635"/>
      <c r="AO23" s="1635"/>
      <c r="AP23" s="1635"/>
      <c r="AQ23" s="1635"/>
      <c r="AR23" s="1635"/>
      <c r="AS23" s="1635"/>
      <c r="AT23" s="1635"/>
      <c r="AU23" s="1635"/>
      <c r="AV23" s="1635"/>
      <c r="AW23" s="1635"/>
      <c r="AX23" s="1635"/>
      <c r="AY23" s="1635"/>
      <c r="AZ23" s="1635"/>
      <c r="BA23" s="1635"/>
      <c r="BB23" s="1635"/>
      <c r="BC23" s="1635"/>
      <c r="BD23" s="1635"/>
      <c r="BE23" s="1635"/>
      <c r="BF23" s="1635"/>
      <c r="BG23" s="1635"/>
      <c r="BH23" s="1635"/>
      <c r="BI23" s="1635"/>
      <c r="BJ23" s="1635"/>
      <c r="BK23" s="1635"/>
      <c r="BL23" s="1635"/>
      <c r="BM23" s="1635"/>
      <c r="BN23" s="1635"/>
      <c r="BO23" s="1635"/>
      <c r="BP23" s="1635"/>
      <c r="BQ23" s="1635"/>
      <c r="BR23" s="1635"/>
      <c r="BS23" s="1635"/>
      <c r="BT23" s="1635"/>
      <c r="BU23" s="1635"/>
      <c r="BV23" s="1635"/>
      <c r="BW23" s="1635"/>
      <c r="BX23" s="1635"/>
      <c r="BY23" s="1635"/>
      <c r="BZ23" s="1635"/>
      <c r="CA23" s="1635"/>
      <c r="CB23" s="1635"/>
      <c r="CC23" s="1635"/>
      <c r="CD23" s="1635"/>
      <c r="CE23" s="1635"/>
      <c r="CF23" s="1635"/>
      <c r="CG23" s="1635"/>
      <c r="CH23" s="1635"/>
      <c r="CI23" s="1635"/>
      <c r="CJ23" s="1635"/>
      <c r="CK23" s="1635"/>
      <c r="CL23" s="1635"/>
      <c r="CM23" s="1635"/>
      <c r="CN23" s="1635"/>
      <c r="CO23" s="1635"/>
      <c r="CP23" s="1635"/>
      <c r="CQ23" s="1635"/>
      <c r="CR23" s="1635"/>
      <c r="CS23" s="1635"/>
      <c r="CT23" s="1635"/>
      <c r="CU23" s="1635"/>
      <c r="CV23" s="1635"/>
      <c r="CW23" s="1635"/>
      <c r="CX23" s="1635"/>
      <c r="CY23" s="1635"/>
      <c r="CZ23" s="1635"/>
      <c r="DA23" s="1635"/>
      <c r="DB23" s="1635"/>
      <c r="DC23" s="1635"/>
      <c r="DD23" s="1635"/>
      <c r="DE23" s="1635"/>
      <c r="DF23" s="1635"/>
      <c r="DG23" s="1635"/>
      <c r="DH23" s="1635"/>
      <c r="DI23" s="1635"/>
      <c r="DJ23" s="1635"/>
      <c r="DK23" s="1635"/>
      <c r="DL23" s="1635"/>
      <c r="DM23" s="1635"/>
      <c r="DN23" s="1635"/>
      <c r="DO23" s="1635"/>
      <c r="DP23" s="1635"/>
      <c r="DQ23" s="1635"/>
      <c r="DR23" s="1635"/>
      <c r="DS23" s="1635"/>
      <c r="DT23" s="1635"/>
      <c r="DU23" s="1635"/>
      <c r="EC23" s="1155">
        <v>0</v>
      </c>
    </row>
    <row customHeight="1" ht="14.25" hidden="1">
      <c r="O24" s="1364"/>
      <c r="AL24" s="1635"/>
      <c r="AM24" s="1635"/>
      <c r="AN24" s="1635"/>
      <c r="AO24" s="1635"/>
      <c r="AP24" s="1635"/>
      <c r="AQ24" s="1635"/>
      <c r="AR24" s="1635"/>
      <c r="AS24" s="1635"/>
      <c r="AT24" s="1635"/>
      <c r="AU24" s="1635"/>
      <c r="AV24" s="1635"/>
      <c r="AW24" s="1635"/>
      <c r="AX24" s="1635"/>
      <c r="AY24" s="1635"/>
      <c r="AZ24" s="1635"/>
      <c r="BA24" s="1635"/>
      <c r="BB24" s="1635"/>
      <c r="BC24" s="1635"/>
      <c r="BD24" s="1635"/>
      <c r="BE24" s="1635"/>
      <c r="BF24" s="1635"/>
      <c r="BG24" s="1635"/>
      <c r="BH24" s="1635"/>
      <c r="BI24" s="1635"/>
      <c r="BJ24" s="1635"/>
      <c r="BK24" s="1635"/>
      <c r="BL24" s="1635"/>
      <c r="BM24" s="1635"/>
      <c r="BN24" s="1635"/>
      <c r="BO24" s="1635"/>
      <c r="BP24" s="1635"/>
      <c r="BQ24" s="1635"/>
      <c r="BR24" s="1635"/>
      <c r="BS24" s="1635"/>
      <c r="BT24" s="1635"/>
      <c r="BU24" s="1635"/>
      <c r="BV24" s="1635"/>
      <c r="BW24" s="1635"/>
      <c r="BX24" s="1635"/>
      <c r="BY24" s="1635"/>
      <c r="BZ24" s="1635"/>
      <c r="CA24" s="1635"/>
      <c r="CB24" s="1635"/>
      <c r="CC24" s="1635"/>
      <c r="CD24" s="1635"/>
      <c r="CE24" s="1635"/>
      <c r="CF24" s="1635"/>
      <c r="CG24" s="1635"/>
      <c r="CH24" s="1635"/>
      <c r="CI24" s="1635"/>
      <c r="CJ24" s="1635"/>
      <c r="CK24" s="1635"/>
      <c r="CL24" s="1635"/>
      <c r="CM24" s="1635"/>
      <c r="CN24" s="1635"/>
      <c r="CO24" s="1635"/>
      <c r="CP24" s="1635"/>
      <c r="CQ24" s="1635"/>
      <c r="CR24" s="1635"/>
      <c r="CS24" s="1635"/>
      <c r="CT24" s="1635"/>
      <c r="CU24" s="1635"/>
      <c r="CV24" s="1635"/>
      <c r="CW24" s="1635"/>
      <c r="CX24" s="1635"/>
      <c r="CY24" s="1635"/>
      <c r="CZ24" s="1635"/>
      <c r="DA24" s="1635"/>
      <c r="DB24" s="1635"/>
      <c r="DC24" s="1635"/>
      <c r="DD24" s="1635"/>
      <c r="DE24" s="1635"/>
      <c r="DF24" s="1635"/>
      <c r="DG24" s="1635"/>
      <c r="DH24" s="1635"/>
      <c r="DI24" s="1635"/>
      <c r="DJ24" s="1635"/>
      <c r="DK24" s="1635"/>
      <c r="DL24" s="1635"/>
      <c r="DM24" s="1635"/>
      <c r="DN24" s="1635"/>
      <c r="DO24" s="1635"/>
      <c r="DP24" s="1635"/>
      <c r="DQ24" s="1635"/>
      <c r="DR24" s="1635"/>
      <c r="DS24" s="1635"/>
      <c r="DT24" s="1635"/>
      <c r="DU24" s="1635"/>
      <c r="EC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L25" s="1635"/>
      <c r="AM25" s="1635"/>
      <c r="AN25" s="1635"/>
      <c r="AO25" s="1635"/>
      <c r="AP25" s="1635"/>
      <c r="AQ25" s="1635"/>
      <c r="AR25" s="1635"/>
      <c r="AS25" s="1635"/>
      <c r="AT25" s="1635"/>
      <c r="AU25" s="1635"/>
      <c r="AV25" s="1635"/>
      <c r="AW25" s="1635"/>
      <c r="AX25" s="1635"/>
      <c r="AY25" s="1635"/>
      <c r="AZ25" s="1635"/>
      <c r="BA25" s="1635"/>
      <c r="BB25" s="1635"/>
      <c r="BC25" s="1635"/>
      <c r="BD25" s="1635"/>
      <c r="BE25" s="1635"/>
      <c r="BF25" s="1635"/>
      <c r="BG25" s="1635"/>
      <c r="BH25" s="1635"/>
      <c r="BI25" s="1635"/>
      <c r="BJ25" s="1635"/>
      <c r="BK25" s="1635"/>
      <c r="BL25" s="1635"/>
      <c r="BM25" s="1635"/>
      <c r="BN25" s="1635"/>
      <c r="BO25" s="1635"/>
      <c r="BP25" s="1635"/>
      <c r="BQ25" s="1635"/>
      <c r="BR25" s="1635"/>
      <c r="BS25" s="1635"/>
      <c r="BT25" s="1635"/>
      <c r="BU25" s="1635"/>
      <c r="BV25" s="1635"/>
      <c r="BW25" s="1635"/>
      <c r="BX25" s="1635"/>
      <c r="BY25" s="1635"/>
      <c r="BZ25" s="1635"/>
      <c r="CA25" s="1635"/>
      <c r="CB25" s="1635"/>
      <c r="CC25" s="1635"/>
      <c r="CD25" s="1635"/>
      <c r="CE25" s="1635"/>
      <c r="CF25" s="1635"/>
      <c r="CG25" s="1635"/>
      <c r="CH25" s="1635"/>
      <c r="CI25" s="1635"/>
      <c r="CJ25" s="1635"/>
      <c r="CK25" s="1635"/>
      <c r="CL25" s="1635"/>
      <c r="CM25" s="1635"/>
      <c r="CN25" s="1635"/>
      <c r="CO25" s="1635"/>
      <c r="CP25" s="1635"/>
      <c r="CQ25" s="1635"/>
      <c r="CR25" s="1635"/>
      <c r="CS25" s="1635"/>
      <c r="CT25" s="1635"/>
      <c r="CU25" s="1635"/>
      <c r="CV25" s="1635"/>
      <c r="CW25" s="1635"/>
      <c r="CX25" s="1635"/>
      <c r="CY25" s="1635"/>
      <c r="CZ25" s="1635"/>
      <c r="DA25" s="1635"/>
      <c r="DB25" s="1635"/>
      <c r="DC25" s="1635"/>
      <c r="DD25" s="1635"/>
      <c r="DE25" s="1635"/>
      <c r="DF25" s="1635"/>
      <c r="DG25" s="1635"/>
      <c r="DH25" s="1635"/>
      <c r="DI25" s="1635"/>
      <c r="DJ25" s="1635"/>
      <c r="DK25" s="1635"/>
      <c r="DL25" s="1635"/>
      <c r="DM25" s="1635"/>
      <c r="DN25" s="1635"/>
      <c r="DO25" s="1635"/>
      <c r="DP25" s="1635"/>
      <c r="DQ25" s="1635"/>
      <c r="DR25" s="1635"/>
      <c r="DS25" s="1635"/>
      <c r="DT25" s="1635"/>
      <c r="DU25" s="1635"/>
      <c r="EC25" s="1155">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L26" s="2248"/>
      <c r="AM26" s="2248"/>
      <c r="AN26" s="2248"/>
      <c r="AO26" s="2248"/>
      <c r="AP26" s="2248"/>
      <c r="AQ26" s="2248"/>
      <c r="AR26" s="2248"/>
      <c r="AS26" s="2248"/>
      <c r="AT26" s="2248"/>
      <c r="AU26" s="2248"/>
      <c r="AV26" s="2248"/>
      <c r="AW26" s="2248"/>
      <c r="AX26" s="2248"/>
      <c r="AY26" s="2248"/>
      <c r="AZ26" s="2248"/>
      <c r="BA26" s="2248"/>
      <c r="BB26" s="2248"/>
      <c r="BC26" s="2248"/>
      <c r="BD26" s="2248"/>
      <c r="BE26" s="2248"/>
      <c r="BF26" s="2248"/>
      <c r="BG26" s="2248"/>
      <c r="BH26" s="2248"/>
      <c r="BI26" s="2248"/>
      <c r="BJ26" s="2248"/>
      <c r="BK26" s="2248"/>
      <c r="BL26" s="2248"/>
      <c r="BM26" s="2248"/>
      <c r="BN26" s="2248"/>
      <c r="BO26" s="2248"/>
      <c r="BP26" s="2248"/>
      <c r="BQ26" s="2248"/>
      <c r="BR26" s="2248"/>
      <c r="BS26" s="2248"/>
      <c r="BT26" s="2248"/>
      <c r="BU26" s="2248"/>
      <c r="BV26" s="2248"/>
      <c r="BW26" s="2248"/>
      <c r="BX26" s="2248"/>
      <c r="BY26" s="2248"/>
      <c r="BZ26" s="2248"/>
      <c r="CA26" s="2248"/>
      <c r="CB26" s="2248"/>
      <c r="CC26" s="2248"/>
      <c r="CD26" s="2248"/>
      <c r="CE26" s="2248"/>
      <c r="CF26" s="2248"/>
      <c r="CG26" s="2248"/>
      <c r="CH26" s="2248"/>
      <c r="CI26" s="2248"/>
      <c r="CJ26" s="2248"/>
      <c r="CK26" s="2248"/>
      <c r="CL26" s="2248"/>
      <c r="CM26" s="2248"/>
      <c r="CN26" s="2248"/>
      <c r="CO26" s="2248"/>
      <c r="CP26" s="2248"/>
      <c r="CQ26" s="2248"/>
      <c r="CR26" s="2248"/>
      <c r="CS26" s="2248"/>
      <c r="CT26" s="2248"/>
      <c r="CU26" s="2248"/>
      <c r="CV26" s="2248"/>
      <c r="CW26" s="2248"/>
      <c r="CX26" s="2248"/>
      <c r="CY26" s="2248"/>
      <c r="CZ26" s="2248"/>
      <c r="DA26" s="2248"/>
      <c r="DB26" s="2248"/>
      <c r="DC26" s="2248"/>
      <c r="DD26" s="2248"/>
      <c r="DE26" s="2248"/>
      <c r="DF26" s="2248"/>
      <c r="DG26" s="2248"/>
      <c r="DH26" s="2248"/>
      <c r="DI26" s="2248"/>
      <c r="DJ26" s="2248"/>
      <c r="DK26" s="2248"/>
      <c r="DL26" s="2248"/>
      <c r="DM26" s="2248"/>
      <c r="DN26" s="2248"/>
      <c r="DO26" s="2248"/>
      <c r="DP26" s="2248"/>
      <c r="DQ26" s="2248"/>
      <c r="DR26" s="2248"/>
      <c r="DS26" s="2248"/>
      <c r="DT26" s="2248"/>
      <c r="DU26" s="2248"/>
      <c r="EC26" s="1155">
        <v>14</v>
      </c>
    </row>
    <row customHeight="1" ht="14.699999999999998">
      <c r="Q27" s="376"/>
      <c r="R27" s="376"/>
      <c r="S27" s="2249" t="str">
        <f>IF(org=0,"Не определено",org)</f>
        <v>ООО "Энерго-Сервис"</v>
      </c>
      <c r="T27" s="2249"/>
      <c r="U27" s="2249"/>
      <c r="V27" s="2249"/>
      <c r="W27" s="2249"/>
      <c r="X27" s="2249"/>
      <c r="Y27" s="2249"/>
      <c r="Z27" s="2249"/>
      <c r="AA27" s="2249"/>
      <c r="AB27" s="2249"/>
      <c r="AC27" s="2249"/>
      <c r="AD27" s="2249"/>
      <c r="AE27" s="2249"/>
      <c r="AF27" s="2249"/>
      <c r="AG27" s="2249"/>
      <c r="AH27" s="2249"/>
      <c r="AI27" s="2249"/>
      <c r="AJ27" s="2249"/>
      <c r="AK27" s="1243"/>
      <c r="AL27" s="2249"/>
      <c r="AM27" s="2249"/>
      <c r="AN27" s="2249"/>
      <c r="AO27" s="2249"/>
      <c r="AP27" s="2249"/>
      <c r="AQ27" s="2249"/>
      <c r="AR27" s="2249"/>
      <c r="AS27" s="2249"/>
      <c r="AT27" s="2249"/>
      <c r="AU27" s="2249"/>
      <c r="AV27" s="2249"/>
      <c r="AW27" s="2249"/>
      <c r="AX27" s="2249"/>
      <c r="AY27" s="2249"/>
      <c r="AZ27" s="2249"/>
      <c r="BA27" s="2249"/>
      <c r="BB27" s="2249"/>
      <c r="BC27" s="2249"/>
      <c r="BD27" s="2249"/>
      <c r="BE27" s="2249"/>
      <c r="BF27" s="2249"/>
      <c r="BG27" s="2249"/>
      <c r="BH27" s="2249"/>
      <c r="BI27" s="2249"/>
      <c r="BJ27" s="2249"/>
      <c r="BK27" s="2249"/>
      <c r="BL27" s="2249"/>
      <c r="BM27" s="2249"/>
      <c r="BN27" s="2249"/>
      <c r="BO27" s="2249"/>
      <c r="BP27" s="2249"/>
      <c r="BQ27" s="2249"/>
      <c r="BR27" s="2249"/>
      <c r="BS27" s="2249"/>
      <c r="BT27" s="2249"/>
      <c r="BU27" s="2249"/>
      <c r="BV27" s="2249"/>
      <c r="BW27" s="2249"/>
      <c r="BX27" s="2249"/>
      <c r="BY27" s="2249"/>
      <c r="BZ27" s="2249"/>
      <c r="CA27" s="2249"/>
      <c r="CB27" s="2249"/>
      <c r="CC27" s="2249"/>
      <c r="CD27" s="2249"/>
      <c r="CE27" s="2249"/>
      <c r="CF27" s="2249"/>
      <c r="CG27" s="2249"/>
      <c r="CH27" s="2249"/>
      <c r="CI27" s="2249"/>
      <c r="CJ27" s="2249"/>
      <c r="CK27" s="2249"/>
      <c r="CL27" s="2249"/>
      <c r="CM27" s="2249"/>
      <c r="CN27" s="2249"/>
      <c r="CO27" s="2249"/>
      <c r="CP27" s="2249"/>
      <c r="CQ27" s="2249"/>
      <c r="CR27" s="2249"/>
      <c r="CS27" s="2249"/>
      <c r="CT27" s="2249"/>
      <c r="CU27" s="2249"/>
      <c r="CV27" s="2249"/>
      <c r="CW27" s="2249"/>
      <c r="CX27" s="2249"/>
      <c r="CY27" s="2249"/>
      <c r="CZ27" s="2249"/>
      <c r="DA27" s="2249"/>
      <c r="DB27" s="2249"/>
      <c r="DC27" s="2249"/>
      <c r="DD27" s="2249"/>
      <c r="DE27" s="2249"/>
      <c r="DF27" s="2249"/>
      <c r="DG27" s="2249"/>
      <c r="DH27" s="2249"/>
      <c r="DI27" s="2249"/>
      <c r="DJ27" s="2249"/>
      <c r="DK27" s="2249"/>
      <c r="DL27" s="2249"/>
      <c r="DM27" s="2249"/>
      <c r="DN27" s="2249"/>
      <c r="DO27" s="2249"/>
      <c r="DP27" s="2249"/>
      <c r="DQ27" s="2249"/>
      <c r="DR27" s="2249"/>
      <c r="DS27" s="2249"/>
      <c r="DT27" s="2249"/>
      <c r="DU27" s="2249"/>
      <c r="EC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322"/>
      <c r="AM28" s="322"/>
      <c r="AN28" s="322"/>
      <c r="AO28" s="322"/>
      <c r="AP28" s="322"/>
      <c r="AQ28" s="322"/>
      <c r="AR28" s="322"/>
      <c r="AS28" s="322"/>
      <c r="AT28" s="322"/>
      <c r="AU28" s="322"/>
      <c r="AV28" s="322"/>
      <c r="AW28" s="322"/>
      <c r="AX28" s="322"/>
      <c r="AY28" s="322"/>
      <c r="AZ28" s="322"/>
      <c r="BA28" s="322"/>
      <c r="BB28" s="322"/>
      <c r="BC28" s="322"/>
      <c r="BD28" s="322"/>
      <c r="BE28" s="322"/>
      <c r="BF28" s="322"/>
      <c r="BG28" s="322"/>
      <c r="BH28" s="322"/>
      <c r="BI28" s="322"/>
      <c r="BJ28" s="322"/>
      <c r="BK28" s="322"/>
      <c r="BL28" s="322"/>
      <c r="BM28" s="322"/>
      <c r="BN28" s="322"/>
      <c r="BO28" s="322"/>
      <c r="BP28" s="322"/>
      <c r="BQ28" s="322"/>
      <c r="BR28" s="322"/>
      <c r="BS28" s="322"/>
      <c r="BT28" s="322"/>
      <c r="BU28" s="322"/>
      <c r="BV28" s="322"/>
      <c r="BW28" s="322"/>
      <c r="BX28" s="322"/>
      <c r="BY28" s="322"/>
      <c r="BZ28" s="322"/>
      <c r="CA28" s="322"/>
      <c r="CB28" s="322"/>
      <c r="CC28" s="322"/>
      <c r="CD28" s="322"/>
      <c r="CE28" s="322"/>
      <c r="CF28" s="322"/>
      <c r="CG28" s="322"/>
      <c r="CH28" s="322"/>
      <c r="CI28" s="322"/>
      <c r="CJ28" s="322"/>
      <c r="CK28" s="322"/>
      <c r="CL28" s="322"/>
      <c r="CM28" s="322"/>
      <c r="CN28" s="322"/>
      <c r="CO28" s="322"/>
      <c r="CP28" s="322"/>
      <c r="CQ28" s="322"/>
      <c r="CR28" s="322"/>
      <c r="CS28" s="322"/>
      <c r="CT28" s="322"/>
      <c r="CU28" s="322"/>
      <c r="CV28" s="322"/>
      <c r="CW28" s="322"/>
      <c r="CX28" s="322"/>
      <c r="CY28" s="322"/>
      <c r="CZ28" s="322"/>
      <c r="DA28" s="322"/>
      <c r="DB28" s="322"/>
      <c r="DC28" s="322"/>
      <c r="DD28" s="322"/>
      <c r="DE28" s="322"/>
      <c r="DF28" s="322"/>
      <c r="DG28" s="322"/>
      <c r="DH28" s="322"/>
      <c r="DI28" s="322"/>
      <c r="DJ28" s="322"/>
      <c r="DK28" s="322"/>
      <c r="DL28" s="322"/>
      <c r="DM28" s="322"/>
      <c r="DN28" s="322"/>
      <c r="DO28" s="322"/>
      <c r="DP28" s="322"/>
      <c r="DQ28" s="322"/>
      <c r="DR28" s="322"/>
      <c r="DS28" s="322"/>
      <c r="DT28" s="322"/>
      <c r="DU28" s="322"/>
      <c r="DV28" s="509"/>
      <c r="EC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Комитет по тарифам и ценам Курской области</v>
      </c>
      <c r="W29" s="2251"/>
      <c r="X29" s="2251"/>
      <c r="Y29" s="2251"/>
      <c r="Z29" s="2251"/>
      <c r="AA29" s="2251"/>
      <c r="AB29" s="2251"/>
      <c r="AC29" s="326"/>
      <c r="AD29" s="2251" t="str">
        <f>IF(TITLE_NAME_OR_PR_CHANGE="",IF(TITLE_NAME_OR_PR="","",TITLE_NAME_OR_PR),TITLE_NAME_OR_PR_CHANGE)</f>
        <v>Комитет по тарифам и ценам Курской области</v>
      </c>
      <c r="AE29" s="2251"/>
      <c r="AF29" s="2251"/>
      <c r="AG29" s="2251"/>
      <c r="AH29" s="2251"/>
      <c r="AI29" s="2251"/>
      <c r="AJ29" s="2251"/>
      <c r="AK29" s="326"/>
      <c r="AL29" s="2251" t="str">
        <f>IF(TITLE_NAME_OR_PR_CHANGE="",IF(TITLE_NAME_OR_PR="","",TITLE_NAME_OR_PR),TITLE_NAME_OR_PR_CHANGE)</f>
        <v>Комитет по тарифам и ценам Курской области</v>
      </c>
      <c r="AM29" s="2251"/>
      <c r="AN29" s="2251"/>
      <c r="AO29" s="2251"/>
      <c r="AP29" s="2251"/>
      <c r="AQ29" s="2251"/>
      <c r="AR29" s="2251"/>
      <c r="AS29" s="1635"/>
      <c r="AT29" s="2251" t="str">
        <f>IF(TITLE_NAME_OR_PR_CHANGE="",IF(TITLE_NAME_OR_PR="","",TITLE_NAME_OR_PR),TITLE_NAME_OR_PR_CHANGE)</f>
        <v>Комитет по тарифам и ценам Курской области</v>
      </c>
      <c r="AU29" s="2251"/>
      <c r="AV29" s="2251"/>
      <c r="AW29" s="2251"/>
      <c r="AX29" s="2251"/>
      <c r="AY29" s="2251"/>
      <c r="AZ29" s="2251"/>
      <c r="BA29" s="1635"/>
      <c r="BB29" s="2251" t="str">
        <f>IF(TITLE_NAME_OR_PR_CHANGE="",IF(TITLE_NAME_OR_PR="","",TITLE_NAME_OR_PR),TITLE_NAME_OR_PR_CHANGE)</f>
        <v>Комитет по тарифам и ценам Курской области</v>
      </c>
      <c r="BC29" s="2251"/>
      <c r="BD29" s="2251"/>
      <c r="BE29" s="2251"/>
      <c r="BF29" s="2251"/>
      <c r="BG29" s="2251"/>
      <c r="BH29" s="2251"/>
      <c r="BI29" s="1635"/>
      <c r="BJ29" s="2251" t="str">
        <f>IF(TITLE_NAME_OR_PR_CHANGE="",IF(TITLE_NAME_OR_PR="","",TITLE_NAME_OR_PR),TITLE_NAME_OR_PR_CHANGE)</f>
        <v>Комитет по тарифам и ценам Курской области</v>
      </c>
      <c r="BK29" s="2251"/>
      <c r="BL29" s="2251"/>
      <c r="BM29" s="2251"/>
      <c r="BN29" s="2251"/>
      <c r="BO29" s="2251"/>
      <c r="BP29" s="2251"/>
      <c r="BQ29" s="1635"/>
      <c r="BR29" s="2251" t="str">
        <f>IF(TITLE_NAME_OR_PR_CHANGE="",IF(TITLE_NAME_OR_PR="","",TITLE_NAME_OR_PR),TITLE_NAME_OR_PR_CHANGE)</f>
        <v>Комитет по тарифам и ценам Курской области</v>
      </c>
      <c r="BS29" s="2251"/>
      <c r="BT29" s="2251"/>
      <c r="BU29" s="2251"/>
      <c r="BV29" s="2251"/>
      <c r="BW29" s="2251"/>
      <c r="BX29" s="2251"/>
      <c r="BY29" s="1635"/>
      <c r="BZ29" s="2251" t="str">
        <f>IF(TITLE_NAME_OR_PR_CHANGE="",IF(TITLE_NAME_OR_PR="","",TITLE_NAME_OR_PR),TITLE_NAME_OR_PR_CHANGE)</f>
        <v>Комитет по тарифам и ценам Курской области</v>
      </c>
      <c r="CA29" s="2251"/>
      <c r="CB29" s="2251"/>
      <c r="CC29" s="2251"/>
      <c r="CD29" s="2251"/>
      <c r="CE29" s="2251"/>
      <c r="CF29" s="2251"/>
      <c r="CG29" s="1635"/>
      <c r="CH29" s="2251" t="str">
        <f>IF(TITLE_NAME_OR_PR_CHANGE="",IF(TITLE_NAME_OR_PR="","",TITLE_NAME_OR_PR),TITLE_NAME_OR_PR_CHANGE)</f>
        <v>Комитет по тарифам и ценам Курской области</v>
      </c>
      <c r="CI29" s="2251"/>
      <c r="CJ29" s="2251"/>
      <c r="CK29" s="2251"/>
      <c r="CL29" s="2251"/>
      <c r="CM29" s="2251"/>
      <c r="CN29" s="2251"/>
      <c r="CO29" s="1635"/>
      <c r="CP29" s="2251" t="str">
        <f>IF(TITLE_NAME_OR_PR_CHANGE="",IF(TITLE_NAME_OR_PR="","",TITLE_NAME_OR_PR),TITLE_NAME_OR_PR_CHANGE)</f>
        <v>Комитет по тарифам и ценам Курской области</v>
      </c>
      <c r="CQ29" s="2251"/>
      <c r="CR29" s="2251"/>
      <c r="CS29" s="2251"/>
      <c r="CT29" s="2251"/>
      <c r="CU29" s="2251"/>
      <c r="CV29" s="2251"/>
      <c r="CW29" s="1635"/>
      <c r="CX29" s="2251" t="str">
        <f>IF(TITLE_NAME_OR_PR_CHANGE="",IF(TITLE_NAME_OR_PR="","",TITLE_NAME_OR_PR),TITLE_NAME_OR_PR_CHANGE)</f>
        <v>Комитет по тарифам и ценам Курской области</v>
      </c>
      <c r="CY29" s="2251"/>
      <c r="CZ29" s="2251"/>
      <c r="DA29" s="2251"/>
      <c r="DB29" s="2251"/>
      <c r="DC29" s="2251"/>
      <c r="DD29" s="2251"/>
      <c r="DE29" s="1635"/>
      <c r="DF29" s="2251" t="str">
        <f>IF(TITLE_NAME_OR_PR_CHANGE="",IF(TITLE_NAME_OR_PR="","",TITLE_NAME_OR_PR),TITLE_NAME_OR_PR_CHANGE)</f>
        <v>Комитет по тарифам и ценам Курской области</v>
      </c>
      <c r="DG29" s="2251"/>
      <c r="DH29" s="2251"/>
      <c r="DI29" s="2251"/>
      <c r="DJ29" s="2251"/>
      <c r="DK29" s="2251"/>
      <c r="DL29" s="2251"/>
      <c r="DM29" s="1635"/>
      <c r="DN29" s="2251" t="str">
        <f>IF(TITLE_NAME_OR_PR_CHANGE="",IF(TITLE_NAME_OR_PR="","",TITLE_NAME_OR_PR),TITLE_NAME_OR_PR_CHANGE)</f>
        <v>Комитет по тарифам и ценам Курской области</v>
      </c>
      <c r="DO29" s="2251"/>
      <c r="DP29" s="2251"/>
      <c r="DQ29" s="2251"/>
      <c r="DR29" s="2251"/>
      <c r="DS29" s="2251"/>
      <c r="DT29" s="2251"/>
      <c r="DU29" s="1635"/>
      <c r="DV29" s="326"/>
      <c r="DW29" s="280"/>
      <c r="DX29" s="368"/>
      <c r="DY29" s="368"/>
      <c r="DZ29" s="368"/>
      <c r="EA29" s="368"/>
      <c r="EB29" s="368"/>
      <c r="EC29" s="418">
        <v>0</v>
      </c>
    </row>
    <row s="1853" customFormat="1" customHeight="1" ht="18.75">
      <c r="A30" s="1368"/>
      <c r="B30" s="1368"/>
      <c r="C30" s="1368"/>
      <c r="D30" s="1368"/>
      <c r="E30" s="1368"/>
      <c r="F30" s="1368"/>
      <c r="G30" s="1368"/>
      <c r="H30" s="1368"/>
      <c r="I30" s="1368"/>
      <c r="J30" s="1368"/>
      <c r="K30" s="1368"/>
      <c r="L30" s="1369"/>
      <c r="M30" s="1368"/>
      <c r="N30" s="1368"/>
      <c r="O30" s="1368"/>
      <c r="S30" s="2250" t="s">
        <v>428</v>
      </c>
      <c r="T30" s="2250"/>
      <c r="U30" s="1372"/>
      <c r="V30" s="2264" t="str">
        <f>IF(TITLE_DATE_PR_CHANGE="",IF(TITLE_DATE_PR="","",TITLE_DATE_PR),TITLE_DATE_PR_CHANGE)</f>
        <v>46010</v>
      </c>
      <c r="W30" s="2264"/>
      <c r="X30" s="2264"/>
      <c r="Y30" s="2264"/>
      <c r="Z30" s="2264"/>
      <c r="AA30" s="2264"/>
      <c r="AB30" s="2264"/>
      <c r="AC30" s="326"/>
      <c r="AD30" s="2264" t="str">
        <f>IF(TITLE_DATE_PR_CHANGE="",IF(TITLE_DATE_PR="","",TITLE_DATE_PR),TITLE_DATE_PR_CHANGE)</f>
        <v>46010</v>
      </c>
      <c r="AE30" s="2264"/>
      <c r="AF30" s="2264"/>
      <c r="AG30" s="2264"/>
      <c r="AH30" s="2264"/>
      <c r="AI30" s="2264"/>
      <c r="AJ30" s="2264"/>
      <c r="AK30" s="326"/>
      <c r="AL30" s="2264" t="str">
        <f>IF(TITLE_DATE_PR_CHANGE="",IF(TITLE_DATE_PR="","",TITLE_DATE_PR),TITLE_DATE_PR_CHANGE)</f>
        <v>46010</v>
      </c>
      <c r="AM30" s="2264"/>
      <c r="AN30" s="2264"/>
      <c r="AO30" s="2264"/>
      <c r="AP30" s="2264"/>
      <c r="AQ30" s="2264"/>
      <c r="AR30" s="2264"/>
      <c r="AS30" s="1635"/>
      <c r="AT30" s="2264" t="str">
        <f>IF(TITLE_DATE_PR_CHANGE="",IF(TITLE_DATE_PR="","",TITLE_DATE_PR),TITLE_DATE_PR_CHANGE)</f>
        <v>46010</v>
      </c>
      <c r="AU30" s="2264"/>
      <c r="AV30" s="2264"/>
      <c r="AW30" s="2264"/>
      <c r="AX30" s="2264"/>
      <c r="AY30" s="2264"/>
      <c r="AZ30" s="2264"/>
      <c r="BA30" s="1635"/>
      <c r="BB30" s="2264" t="str">
        <f>IF(TITLE_DATE_PR_CHANGE="",IF(TITLE_DATE_PR="","",TITLE_DATE_PR),TITLE_DATE_PR_CHANGE)</f>
        <v>46010</v>
      </c>
      <c r="BC30" s="2264"/>
      <c r="BD30" s="2264"/>
      <c r="BE30" s="2264"/>
      <c r="BF30" s="2264"/>
      <c r="BG30" s="2264"/>
      <c r="BH30" s="2264"/>
      <c r="BI30" s="1635"/>
      <c r="BJ30" s="2264" t="str">
        <f>IF(TITLE_DATE_PR_CHANGE="",IF(TITLE_DATE_PR="","",TITLE_DATE_PR),TITLE_DATE_PR_CHANGE)</f>
        <v>46010</v>
      </c>
      <c r="BK30" s="2264"/>
      <c r="BL30" s="2264"/>
      <c r="BM30" s="2264"/>
      <c r="BN30" s="2264"/>
      <c r="BO30" s="2264"/>
      <c r="BP30" s="2264"/>
      <c r="BQ30" s="1635"/>
      <c r="BR30" s="2264" t="str">
        <f>IF(TITLE_DATE_PR_CHANGE="",IF(TITLE_DATE_PR="","",TITLE_DATE_PR),TITLE_DATE_PR_CHANGE)</f>
        <v>46010</v>
      </c>
      <c r="BS30" s="2264"/>
      <c r="BT30" s="2264"/>
      <c r="BU30" s="2264"/>
      <c r="BV30" s="2264"/>
      <c r="BW30" s="2264"/>
      <c r="BX30" s="2264"/>
      <c r="BY30" s="1635"/>
      <c r="BZ30" s="2264" t="str">
        <f>IF(TITLE_DATE_PR_CHANGE="",IF(TITLE_DATE_PR="","",TITLE_DATE_PR),TITLE_DATE_PR_CHANGE)</f>
        <v>46010</v>
      </c>
      <c r="CA30" s="2264"/>
      <c r="CB30" s="2264"/>
      <c r="CC30" s="2264"/>
      <c r="CD30" s="2264"/>
      <c r="CE30" s="2264"/>
      <c r="CF30" s="2264"/>
      <c r="CG30" s="1635"/>
      <c r="CH30" s="2264" t="str">
        <f>IF(TITLE_DATE_PR_CHANGE="",IF(TITLE_DATE_PR="","",TITLE_DATE_PR),TITLE_DATE_PR_CHANGE)</f>
        <v>46010</v>
      </c>
      <c r="CI30" s="2264"/>
      <c r="CJ30" s="2264"/>
      <c r="CK30" s="2264"/>
      <c r="CL30" s="2264"/>
      <c r="CM30" s="2264"/>
      <c r="CN30" s="2264"/>
      <c r="CO30" s="1635"/>
      <c r="CP30" s="2264" t="str">
        <f>IF(TITLE_DATE_PR_CHANGE="",IF(TITLE_DATE_PR="","",TITLE_DATE_PR),TITLE_DATE_PR_CHANGE)</f>
        <v>46010</v>
      </c>
      <c r="CQ30" s="2264"/>
      <c r="CR30" s="2264"/>
      <c r="CS30" s="2264"/>
      <c r="CT30" s="2264"/>
      <c r="CU30" s="2264"/>
      <c r="CV30" s="2264"/>
      <c r="CW30" s="1635"/>
      <c r="CX30" s="2264" t="str">
        <f>IF(TITLE_DATE_PR_CHANGE="",IF(TITLE_DATE_PR="","",TITLE_DATE_PR),TITLE_DATE_PR_CHANGE)</f>
        <v>46010</v>
      </c>
      <c r="CY30" s="2264"/>
      <c r="CZ30" s="2264"/>
      <c r="DA30" s="2264"/>
      <c r="DB30" s="2264"/>
      <c r="DC30" s="2264"/>
      <c r="DD30" s="2264"/>
      <c r="DE30" s="1635"/>
      <c r="DF30" s="2264" t="str">
        <f>IF(TITLE_DATE_PR_CHANGE="",IF(TITLE_DATE_PR="","",TITLE_DATE_PR),TITLE_DATE_PR_CHANGE)</f>
        <v>46010</v>
      </c>
      <c r="DG30" s="2264"/>
      <c r="DH30" s="2264"/>
      <c r="DI30" s="2264"/>
      <c r="DJ30" s="2264"/>
      <c r="DK30" s="2264"/>
      <c r="DL30" s="2264"/>
      <c r="DM30" s="1635"/>
      <c r="DN30" s="2264" t="str">
        <f>IF(TITLE_DATE_PR_CHANGE="",IF(TITLE_DATE_PR="","",TITLE_DATE_PR),TITLE_DATE_PR_CHANGE)</f>
        <v>46010</v>
      </c>
      <c r="DO30" s="2264"/>
      <c r="DP30" s="2264"/>
      <c r="DQ30" s="2264"/>
      <c r="DR30" s="2264"/>
      <c r="DS30" s="2264"/>
      <c r="DT30" s="2264"/>
      <c r="DU30" s="1635"/>
      <c r="DV30" s="326"/>
      <c r="DW30" s="280"/>
      <c r="DX30" s="368"/>
      <c r="DY30" s="368"/>
      <c r="DZ30" s="368"/>
      <c r="EA30" s="368"/>
      <c r="EB30" s="368"/>
      <c r="EC30" s="418">
        <v>0</v>
      </c>
    </row>
    <row s="1853" customFormat="1" customHeight="1" ht="18.75">
      <c r="A31" s="1368"/>
      <c r="B31" s="1368"/>
      <c r="C31" s="1368"/>
      <c r="D31" s="1368"/>
      <c r="E31" s="1368"/>
      <c r="F31" s="1368"/>
      <c r="G31" s="1368"/>
      <c r="H31" s="1368"/>
      <c r="I31" s="1368"/>
      <c r="J31" s="1368"/>
      <c r="K31" s="1368"/>
      <c r="L31" s="1369"/>
      <c r="M31" s="1368"/>
      <c r="N31" s="1368"/>
      <c r="O31" s="1368"/>
      <c r="S31" s="2250" t="s">
        <v>429</v>
      </c>
      <c r="T31" s="2250"/>
      <c r="U31" s="1372"/>
      <c r="V31" s="2251" t="str">
        <f>IF(TITLE_NUMBER_PR_CHANGE="",IF(TITLE_NUMBER_PR="","",TITLE_NUMBER_PR),TITLE_NUMBER_PR_CHANGE)</f>
        <v>66</v>
      </c>
      <c r="W31" s="2251"/>
      <c r="X31" s="2251"/>
      <c r="Y31" s="2251"/>
      <c r="Z31" s="2251"/>
      <c r="AA31" s="2251"/>
      <c r="AB31" s="2251"/>
      <c r="AC31" s="326"/>
      <c r="AD31" s="2251" t="str">
        <f>IF(TITLE_NUMBER_PR_CHANGE="",IF(TITLE_NUMBER_PR="","",TITLE_NUMBER_PR),TITLE_NUMBER_PR_CHANGE)</f>
        <v>66</v>
      </c>
      <c r="AE31" s="2251"/>
      <c r="AF31" s="2251"/>
      <c r="AG31" s="2251"/>
      <c r="AH31" s="2251"/>
      <c r="AI31" s="2251"/>
      <c r="AJ31" s="2251"/>
      <c r="AK31" s="326"/>
      <c r="AL31" s="2251" t="str">
        <f>IF(TITLE_NUMBER_PR_CHANGE="",IF(TITLE_NUMBER_PR="","",TITLE_NUMBER_PR),TITLE_NUMBER_PR_CHANGE)</f>
        <v>66</v>
      </c>
      <c r="AM31" s="2251"/>
      <c r="AN31" s="2251"/>
      <c r="AO31" s="2251"/>
      <c r="AP31" s="2251"/>
      <c r="AQ31" s="2251"/>
      <c r="AR31" s="2251"/>
      <c r="AS31" s="1635"/>
      <c r="AT31" s="2251" t="str">
        <f>IF(TITLE_NUMBER_PR_CHANGE="",IF(TITLE_NUMBER_PR="","",TITLE_NUMBER_PR),TITLE_NUMBER_PR_CHANGE)</f>
        <v>66</v>
      </c>
      <c r="AU31" s="2251"/>
      <c r="AV31" s="2251"/>
      <c r="AW31" s="2251"/>
      <c r="AX31" s="2251"/>
      <c r="AY31" s="2251"/>
      <c r="AZ31" s="2251"/>
      <c r="BA31" s="1635"/>
      <c r="BB31" s="2251" t="str">
        <f>IF(TITLE_NUMBER_PR_CHANGE="",IF(TITLE_NUMBER_PR="","",TITLE_NUMBER_PR),TITLE_NUMBER_PR_CHANGE)</f>
        <v>66</v>
      </c>
      <c r="BC31" s="2251"/>
      <c r="BD31" s="2251"/>
      <c r="BE31" s="2251"/>
      <c r="BF31" s="2251"/>
      <c r="BG31" s="2251"/>
      <c r="BH31" s="2251"/>
      <c r="BI31" s="1635"/>
      <c r="BJ31" s="2251" t="str">
        <f>IF(TITLE_NUMBER_PR_CHANGE="",IF(TITLE_NUMBER_PR="","",TITLE_NUMBER_PR),TITLE_NUMBER_PR_CHANGE)</f>
        <v>66</v>
      </c>
      <c r="BK31" s="2251"/>
      <c r="BL31" s="2251"/>
      <c r="BM31" s="2251"/>
      <c r="BN31" s="2251"/>
      <c r="BO31" s="2251"/>
      <c r="BP31" s="2251"/>
      <c r="BQ31" s="1635"/>
      <c r="BR31" s="2251" t="str">
        <f>IF(TITLE_NUMBER_PR_CHANGE="",IF(TITLE_NUMBER_PR="","",TITLE_NUMBER_PR),TITLE_NUMBER_PR_CHANGE)</f>
        <v>66</v>
      </c>
      <c r="BS31" s="2251"/>
      <c r="BT31" s="2251"/>
      <c r="BU31" s="2251"/>
      <c r="BV31" s="2251"/>
      <c r="BW31" s="2251"/>
      <c r="BX31" s="2251"/>
      <c r="BY31" s="1635"/>
      <c r="BZ31" s="2251" t="str">
        <f>IF(TITLE_NUMBER_PR_CHANGE="",IF(TITLE_NUMBER_PR="","",TITLE_NUMBER_PR),TITLE_NUMBER_PR_CHANGE)</f>
        <v>66</v>
      </c>
      <c r="CA31" s="2251"/>
      <c r="CB31" s="2251"/>
      <c r="CC31" s="2251"/>
      <c r="CD31" s="2251"/>
      <c r="CE31" s="2251"/>
      <c r="CF31" s="2251"/>
      <c r="CG31" s="1635"/>
      <c r="CH31" s="2251" t="str">
        <f>IF(TITLE_NUMBER_PR_CHANGE="",IF(TITLE_NUMBER_PR="","",TITLE_NUMBER_PR),TITLE_NUMBER_PR_CHANGE)</f>
        <v>66</v>
      </c>
      <c r="CI31" s="2251"/>
      <c r="CJ31" s="2251"/>
      <c r="CK31" s="2251"/>
      <c r="CL31" s="2251"/>
      <c r="CM31" s="2251"/>
      <c r="CN31" s="2251"/>
      <c r="CO31" s="1635"/>
      <c r="CP31" s="2251" t="str">
        <f>IF(TITLE_NUMBER_PR_CHANGE="",IF(TITLE_NUMBER_PR="","",TITLE_NUMBER_PR),TITLE_NUMBER_PR_CHANGE)</f>
        <v>66</v>
      </c>
      <c r="CQ31" s="2251"/>
      <c r="CR31" s="2251"/>
      <c r="CS31" s="2251"/>
      <c r="CT31" s="2251"/>
      <c r="CU31" s="2251"/>
      <c r="CV31" s="2251"/>
      <c r="CW31" s="1635"/>
      <c r="CX31" s="2251" t="str">
        <f>IF(TITLE_NUMBER_PR_CHANGE="",IF(TITLE_NUMBER_PR="","",TITLE_NUMBER_PR),TITLE_NUMBER_PR_CHANGE)</f>
        <v>66</v>
      </c>
      <c r="CY31" s="2251"/>
      <c r="CZ31" s="2251"/>
      <c r="DA31" s="2251"/>
      <c r="DB31" s="2251"/>
      <c r="DC31" s="2251"/>
      <c r="DD31" s="2251"/>
      <c r="DE31" s="1635"/>
      <c r="DF31" s="2251" t="str">
        <f>IF(TITLE_NUMBER_PR_CHANGE="",IF(TITLE_NUMBER_PR="","",TITLE_NUMBER_PR),TITLE_NUMBER_PR_CHANGE)</f>
        <v>66</v>
      </c>
      <c r="DG31" s="2251"/>
      <c r="DH31" s="2251"/>
      <c r="DI31" s="2251"/>
      <c r="DJ31" s="2251"/>
      <c r="DK31" s="2251"/>
      <c r="DL31" s="2251"/>
      <c r="DM31" s="1635"/>
      <c r="DN31" s="2251" t="str">
        <f>IF(TITLE_NUMBER_PR_CHANGE="",IF(TITLE_NUMBER_PR="","",TITLE_NUMBER_PR),TITLE_NUMBER_PR_CHANGE)</f>
        <v>66</v>
      </c>
      <c r="DO31" s="2251"/>
      <c r="DP31" s="2251"/>
      <c r="DQ31" s="2251"/>
      <c r="DR31" s="2251"/>
      <c r="DS31" s="2251"/>
      <c r="DT31" s="2251"/>
      <c r="DU31" s="1635"/>
      <c r="DV31" s="326"/>
      <c r="DW31" s="280"/>
      <c r="DX31" s="368"/>
      <c r="DY31" s="368"/>
      <c r="DZ31" s="368"/>
      <c r="EA31" s="368"/>
      <c r="EB31" s="368"/>
      <c r="EC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https://kurskpravo.ru/accepted-npa-prewev/2528</v>
      </c>
      <c r="W32" s="2251"/>
      <c r="X32" s="2251"/>
      <c r="Y32" s="2251"/>
      <c r="Z32" s="2251"/>
      <c r="AA32" s="2251"/>
      <c r="AB32" s="2251"/>
      <c r="AC32" s="326"/>
      <c r="AD32" s="2251" t="str">
        <f>IF(TITLE_IST_PUB_CHANGE="",IF(TITLE_IST_PUB="","",TITLE_IST_PUB),TITLE_IST_PUB_CHANGE)</f>
        <v>https://kurskpravo.ru/accepted-npa-prewev/2528</v>
      </c>
      <c r="AE32" s="2251"/>
      <c r="AF32" s="2251"/>
      <c r="AG32" s="2251"/>
      <c r="AH32" s="2251"/>
      <c r="AI32" s="2251"/>
      <c r="AJ32" s="2251"/>
      <c r="AK32" s="326"/>
      <c r="AL32" s="2251" t="str">
        <f>IF(TITLE_IST_PUB_CHANGE="",IF(TITLE_IST_PUB="","",TITLE_IST_PUB),TITLE_IST_PUB_CHANGE)</f>
        <v>https://kurskpravo.ru/accepted-npa-prewev/2528</v>
      </c>
      <c r="AM32" s="2251"/>
      <c r="AN32" s="2251"/>
      <c r="AO32" s="2251"/>
      <c r="AP32" s="2251"/>
      <c r="AQ32" s="2251"/>
      <c r="AR32" s="2251"/>
      <c r="AS32" s="1635"/>
      <c r="AT32" s="2251" t="str">
        <f>IF(TITLE_IST_PUB_CHANGE="",IF(TITLE_IST_PUB="","",TITLE_IST_PUB),TITLE_IST_PUB_CHANGE)</f>
        <v>https://kurskpravo.ru/accepted-npa-prewev/2528</v>
      </c>
      <c r="AU32" s="2251"/>
      <c r="AV32" s="2251"/>
      <c r="AW32" s="2251"/>
      <c r="AX32" s="2251"/>
      <c r="AY32" s="2251"/>
      <c r="AZ32" s="2251"/>
      <c r="BA32" s="1635"/>
      <c r="BB32" s="2251" t="str">
        <f>IF(TITLE_IST_PUB_CHANGE="",IF(TITLE_IST_PUB="","",TITLE_IST_PUB),TITLE_IST_PUB_CHANGE)</f>
        <v>https://kurskpravo.ru/accepted-npa-prewev/2528</v>
      </c>
      <c r="BC32" s="2251"/>
      <c r="BD32" s="2251"/>
      <c r="BE32" s="2251"/>
      <c r="BF32" s="2251"/>
      <c r="BG32" s="2251"/>
      <c r="BH32" s="2251"/>
      <c r="BI32" s="1635"/>
      <c r="BJ32" s="2251" t="str">
        <f>IF(TITLE_IST_PUB_CHANGE="",IF(TITLE_IST_PUB="","",TITLE_IST_PUB),TITLE_IST_PUB_CHANGE)</f>
        <v>https://kurskpravo.ru/accepted-npa-prewev/2528</v>
      </c>
      <c r="BK32" s="2251"/>
      <c r="BL32" s="2251"/>
      <c r="BM32" s="2251"/>
      <c r="BN32" s="2251"/>
      <c r="BO32" s="2251"/>
      <c r="BP32" s="2251"/>
      <c r="BQ32" s="1635"/>
      <c r="BR32" s="2251" t="str">
        <f>IF(TITLE_IST_PUB_CHANGE="",IF(TITLE_IST_PUB="","",TITLE_IST_PUB),TITLE_IST_PUB_CHANGE)</f>
        <v>https://kurskpravo.ru/accepted-npa-prewev/2528</v>
      </c>
      <c r="BS32" s="2251"/>
      <c r="BT32" s="2251"/>
      <c r="BU32" s="2251"/>
      <c r="BV32" s="2251"/>
      <c r="BW32" s="2251"/>
      <c r="BX32" s="2251"/>
      <c r="BY32" s="1635"/>
      <c r="BZ32" s="2251" t="str">
        <f>IF(TITLE_IST_PUB_CHANGE="",IF(TITLE_IST_PUB="","",TITLE_IST_PUB),TITLE_IST_PUB_CHANGE)</f>
        <v>https://kurskpravo.ru/accepted-npa-prewev/2528</v>
      </c>
      <c r="CA32" s="2251"/>
      <c r="CB32" s="2251"/>
      <c r="CC32" s="2251"/>
      <c r="CD32" s="2251"/>
      <c r="CE32" s="2251"/>
      <c r="CF32" s="2251"/>
      <c r="CG32" s="1635"/>
      <c r="CH32" s="2251" t="str">
        <f>IF(TITLE_IST_PUB_CHANGE="",IF(TITLE_IST_PUB="","",TITLE_IST_PUB),TITLE_IST_PUB_CHANGE)</f>
        <v>https://kurskpravo.ru/accepted-npa-prewev/2528</v>
      </c>
      <c r="CI32" s="2251"/>
      <c r="CJ32" s="2251"/>
      <c r="CK32" s="2251"/>
      <c r="CL32" s="2251"/>
      <c r="CM32" s="2251"/>
      <c r="CN32" s="2251"/>
      <c r="CO32" s="1635"/>
      <c r="CP32" s="2251" t="str">
        <f>IF(TITLE_IST_PUB_CHANGE="",IF(TITLE_IST_PUB="","",TITLE_IST_PUB),TITLE_IST_PUB_CHANGE)</f>
        <v>https://kurskpravo.ru/accepted-npa-prewev/2528</v>
      </c>
      <c r="CQ32" s="2251"/>
      <c r="CR32" s="2251"/>
      <c r="CS32" s="2251"/>
      <c r="CT32" s="2251"/>
      <c r="CU32" s="2251"/>
      <c r="CV32" s="2251"/>
      <c r="CW32" s="1635"/>
      <c r="CX32" s="2251" t="str">
        <f>IF(TITLE_IST_PUB_CHANGE="",IF(TITLE_IST_PUB="","",TITLE_IST_PUB),TITLE_IST_PUB_CHANGE)</f>
        <v>https://kurskpravo.ru/accepted-npa-prewev/2528</v>
      </c>
      <c r="CY32" s="2251"/>
      <c r="CZ32" s="2251"/>
      <c r="DA32" s="2251"/>
      <c r="DB32" s="2251"/>
      <c r="DC32" s="2251"/>
      <c r="DD32" s="2251"/>
      <c r="DE32" s="1635"/>
      <c r="DF32" s="2251" t="str">
        <f>IF(TITLE_IST_PUB_CHANGE="",IF(TITLE_IST_PUB="","",TITLE_IST_PUB),TITLE_IST_PUB_CHANGE)</f>
        <v>https://kurskpravo.ru/accepted-npa-prewev/2528</v>
      </c>
      <c r="DG32" s="2251"/>
      <c r="DH32" s="2251"/>
      <c r="DI32" s="2251"/>
      <c r="DJ32" s="2251"/>
      <c r="DK32" s="2251"/>
      <c r="DL32" s="2251"/>
      <c r="DM32" s="1635"/>
      <c r="DN32" s="2251" t="str">
        <f>IF(TITLE_IST_PUB_CHANGE="",IF(TITLE_IST_PUB="","",TITLE_IST_PUB),TITLE_IST_PUB_CHANGE)</f>
        <v>https://kurskpravo.ru/accepted-npa-prewev/2528</v>
      </c>
      <c r="DO32" s="2251"/>
      <c r="DP32" s="2251"/>
      <c r="DQ32" s="2251"/>
      <c r="DR32" s="2251"/>
      <c r="DS32" s="2251"/>
      <c r="DT32" s="2251"/>
      <c r="DU32" s="1635"/>
      <c r="DV32" s="326"/>
      <c r="DW32" s="280"/>
      <c r="DX32" s="368"/>
      <c r="DY32" s="368"/>
      <c r="DZ32" s="368"/>
      <c r="EA32" s="368"/>
      <c r="EB32" s="368"/>
      <c r="EC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322"/>
      <c r="AM33" s="322"/>
      <c r="AN33" s="322"/>
      <c r="AO33" s="322"/>
      <c r="AP33" s="322"/>
      <c r="AQ33" s="322"/>
      <c r="AR33" s="322"/>
      <c r="AS33" s="322"/>
      <c r="AT33" s="322"/>
      <c r="AU33" s="322"/>
      <c r="AV33" s="322"/>
      <c r="AW33" s="322"/>
      <c r="AX33" s="322"/>
      <c r="AY33" s="322"/>
      <c r="AZ33" s="322"/>
      <c r="BA33" s="322"/>
      <c r="BB33" s="322"/>
      <c r="BC33" s="322"/>
      <c r="BD33" s="322"/>
      <c r="BE33" s="322"/>
      <c r="BF33" s="322"/>
      <c r="BG33" s="322"/>
      <c r="BH33" s="322"/>
      <c r="BI33" s="322"/>
      <c r="BJ33" s="322"/>
      <c r="BK33" s="322"/>
      <c r="BL33" s="322"/>
      <c r="BM33" s="322"/>
      <c r="BN33" s="322"/>
      <c r="BO33" s="322"/>
      <c r="BP33" s="322"/>
      <c r="BQ33" s="322"/>
      <c r="BR33" s="322"/>
      <c r="BS33" s="322"/>
      <c r="BT33" s="322"/>
      <c r="BU33" s="322"/>
      <c r="BV33" s="322"/>
      <c r="BW33" s="322"/>
      <c r="BX33" s="322"/>
      <c r="BY33" s="322"/>
      <c r="BZ33" s="322"/>
      <c r="CA33" s="322"/>
      <c r="CB33" s="322"/>
      <c r="CC33" s="322"/>
      <c r="CD33" s="322"/>
      <c r="CE33" s="322"/>
      <c r="CF33" s="322"/>
      <c r="CG33" s="322"/>
      <c r="CH33" s="322"/>
      <c r="CI33" s="322"/>
      <c r="CJ33" s="322"/>
      <c r="CK33" s="322"/>
      <c r="CL33" s="322"/>
      <c r="CM33" s="322"/>
      <c r="CN33" s="322"/>
      <c r="CO33" s="322"/>
      <c r="CP33" s="322"/>
      <c r="CQ33" s="322"/>
      <c r="CR33" s="322"/>
      <c r="CS33" s="322"/>
      <c r="CT33" s="322"/>
      <c r="CU33" s="322"/>
      <c r="CV33" s="322"/>
      <c r="CW33" s="322"/>
      <c r="CX33" s="322"/>
      <c r="CY33" s="322"/>
      <c r="CZ33" s="322"/>
      <c r="DA33" s="322"/>
      <c r="DB33" s="322"/>
      <c r="DC33" s="322"/>
      <c r="DD33" s="322"/>
      <c r="DE33" s="322"/>
      <c r="DF33" s="322"/>
      <c r="DG33" s="322"/>
      <c r="DH33" s="322"/>
      <c r="DI33" s="322"/>
      <c r="DJ33" s="322"/>
      <c r="DK33" s="322"/>
      <c r="DL33" s="322"/>
      <c r="DM33" s="322"/>
      <c r="DN33" s="322"/>
      <c r="DO33" s="322"/>
      <c r="DP33" s="322"/>
      <c r="DQ33" s="322"/>
      <c r="DR33" s="322"/>
      <c r="DS33" s="322"/>
      <c r="DT33" s="322"/>
      <c r="DU33" s="322"/>
      <c r="DV33" s="509"/>
      <c r="EC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430</v>
      </c>
      <c r="T34" s="2250"/>
      <c r="U34" s="1372"/>
      <c r="V34" s="2264" t="str">
        <f>IF(TITLE_DATE_PR_CHANGE="",IF(TITLE_DATE_PR="","",TITLE_DATE_PR),TITLE_DATE_PR_CHANGE)</f>
        <v>46010</v>
      </c>
      <c r="W34" s="2264"/>
      <c r="X34" s="2264"/>
      <c r="Y34" s="2264"/>
      <c r="Z34" s="2264"/>
      <c r="AA34" s="2264"/>
      <c r="AB34" s="2264"/>
      <c r="AC34" s="326"/>
      <c r="AD34" s="2264" t="str">
        <f>IF(TITLE_DATE_PR_CHANGE="",IF(TITLE_DATE_PR="","",TITLE_DATE_PR),TITLE_DATE_PR_CHANGE)</f>
        <v>46010</v>
      </c>
      <c r="AE34" s="2264"/>
      <c r="AF34" s="2264"/>
      <c r="AG34" s="2264"/>
      <c r="AH34" s="2264"/>
      <c r="AI34" s="2264"/>
      <c r="AJ34" s="2264"/>
      <c r="AK34" s="326"/>
      <c r="AL34" s="2264" t="str">
        <f>IF(TITLE_DATE_PR_CHANGE="",IF(TITLE_DATE_PR="","",TITLE_DATE_PR),TITLE_DATE_PR_CHANGE)</f>
        <v>46010</v>
      </c>
      <c r="AM34" s="2264"/>
      <c r="AN34" s="2264"/>
      <c r="AO34" s="2264"/>
      <c r="AP34" s="2264"/>
      <c r="AQ34" s="2264"/>
      <c r="AR34" s="2264"/>
      <c r="AS34" s="1635"/>
      <c r="AT34" s="2264" t="str">
        <f>IF(TITLE_DATE_PR_CHANGE="",IF(TITLE_DATE_PR="","",TITLE_DATE_PR),TITLE_DATE_PR_CHANGE)</f>
        <v>46010</v>
      </c>
      <c r="AU34" s="2264"/>
      <c r="AV34" s="2264"/>
      <c r="AW34" s="2264"/>
      <c r="AX34" s="2264"/>
      <c r="AY34" s="2264"/>
      <c r="AZ34" s="2264"/>
      <c r="BA34" s="1635"/>
      <c r="BB34" s="2264" t="str">
        <f>IF(TITLE_DATE_PR_CHANGE="",IF(TITLE_DATE_PR="","",TITLE_DATE_PR),TITLE_DATE_PR_CHANGE)</f>
        <v>46010</v>
      </c>
      <c r="BC34" s="2264"/>
      <c r="BD34" s="2264"/>
      <c r="BE34" s="2264"/>
      <c r="BF34" s="2264"/>
      <c r="BG34" s="2264"/>
      <c r="BH34" s="2264"/>
      <c r="BI34" s="1635"/>
      <c r="BJ34" s="2264" t="str">
        <f>IF(TITLE_DATE_PR_CHANGE="",IF(TITLE_DATE_PR="","",TITLE_DATE_PR),TITLE_DATE_PR_CHANGE)</f>
        <v>46010</v>
      </c>
      <c r="BK34" s="2264"/>
      <c r="BL34" s="2264"/>
      <c r="BM34" s="2264"/>
      <c r="BN34" s="2264"/>
      <c r="BO34" s="2264"/>
      <c r="BP34" s="2264"/>
      <c r="BQ34" s="1635"/>
      <c r="BR34" s="2264" t="str">
        <f>IF(TITLE_DATE_PR_CHANGE="",IF(TITLE_DATE_PR="","",TITLE_DATE_PR),TITLE_DATE_PR_CHANGE)</f>
        <v>46010</v>
      </c>
      <c r="BS34" s="2264"/>
      <c r="BT34" s="2264"/>
      <c r="BU34" s="2264"/>
      <c r="BV34" s="2264"/>
      <c r="BW34" s="2264"/>
      <c r="BX34" s="2264"/>
      <c r="BY34" s="1635"/>
      <c r="BZ34" s="2264" t="str">
        <f>IF(TITLE_DATE_PR_CHANGE="",IF(TITLE_DATE_PR="","",TITLE_DATE_PR),TITLE_DATE_PR_CHANGE)</f>
        <v>46010</v>
      </c>
      <c r="CA34" s="2264"/>
      <c r="CB34" s="2264"/>
      <c r="CC34" s="2264"/>
      <c r="CD34" s="2264"/>
      <c r="CE34" s="2264"/>
      <c r="CF34" s="2264"/>
      <c r="CG34" s="1635"/>
      <c r="CH34" s="2264" t="str">
        <f>IF(TITLE_DATE_PR_CHANGE="",IF(TITLE_DATE_PR="","",TITLE_DATE_PR),TITLE_DATE_PR_CHANGE)</f>
        <v>46010</v>
      </c>
      <c r="CI34" s="2264"/>
      <c r="CJ34" s="2264"/>
      <c r="CK34" s="2264"/>
      <c r="CL34" s="2264"/>
      <c r="CM34" s="2264"/>
      <c r="CN34" s="2264"/>
      <c r="CO34" s="1635"/>
      <c r="CP34" s="2264" t="str">
        <f>IF(TITLE_DATE_PR_CHANGE="",IF(TITLE_DATE_PR="","",TITLE_DATE_PR),TITLE_DATE_PR_CHANGE)</f>
        <v>46010</v>
      </c>
      <c r="CQ34" s="2264"/>
      <c r="CR34" s="2264"/>
      <c r="CS34" s="2264"/>
      <c r="CT34" s="2264"/>
      <c r="CU34" s="2264"/>
      <c r="CV34" s="2264"/>
      <c r="CW34" s="1635"/>
      <c r="CX34" s="2264" t="str">
        <f>IF(TITLE_DATE_PR_CHANGE="",IF(TITLE_DATE_PR="","",TITLE_DATE_PR),TITLE_DATE_PR_CHANGE)</f>
        <v>46010</v>
      </c>
      <c r="CY34" s="2264"/>
      <c r="CZ34" s="2264"/>
      <c r="DA34" s="2264"/>
      <c r="DB34" s="2264"/>
      <c r="DC34" s="2264"/>
      <c r="DD34" s="2264"/>
      <c r="DE34" s="1635"/>
      <c r="DF34" s="2264" t="str">
        <f>IF(TITLE_DATE_PR_CHANGE="",IF(TITLE_DATE_PR="","",TITLE_DATE_PR),TITLE_DATE_PR_CHANGE)</f>
        <v>46010</v>
      </c>
      <c r="DG34" s="2264"/>
      <c r="DH34" s="2264"/>
      <c r="DI34" s="2264"/>
      <c r="DJ34" s="2264"/>
      <c r="DK34" s="2264"/>
      <c r="DL34" s="2264"/>
      <c r="DM34" s="1635"/>
      <c r="DN34" s="2264" t="str">
        <f>IF(TITLE_DATE_PR_CHANGE="",IF(TITLE_DATE_PR="","",TITLE_DATE_PR),TITLE_DATE_PR_CHANGE)</f>
        <v>46010</v>
      </c>
      <c r="DO34" s="2264"/>
      <c r="DP34" s="2264"/>
      <c r="DQ34" s="2264"/>
      <c r="DR34" s="2264"/>
      <c r="DS34" s="2264"/>
      <c r="DT34" s="2264"/>
      <c r="DU34" s="1635"/>
      <c r="DV34" s="326"/>
      <c r="DW34" s="280"/>
      <c r="DX34" s="368"/>
      <c r="DY34" s="368"/>
      <c r="DZ34" s="368"/>
      <c r="EA34" s="368"/>
      <c r="EB34" s="368"/>
      <c r="EC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431</v>
      </c>
      <c r="T35" s="2250"/>
      <c r="U35" s="1372"/>
      <c r="V35" s="2251" t="str">
        <f>IF(TITLE_NUMBER_PR_CHANGE="",IF(TITLE_NUMBER_PR="","",TITLE_NUMBER_PR),TITLE_NUMBER_PR_CHANGE)</f>
        <v>66</v>
      </c>
      <c r="W35" s="2251"/>
      <c r="X35" s="2251"/>
      <c r="Y35" s="2251"/>
      <c r="Z35" s="2251"/>
      <c r="AA35" s="2251"/>
      <c r="AB35" s="2251"/>
      <c r="AC35" s="326"/>
      <c r="AD35" s="2251" t="str">
        <f>IF(TITLE_NUMBER_PR_CHANGE="",IF(TITLE_NUMBER_PR="","",TITLE_NUMBER_PR),TITLE_NUMBER_PR_CHANGE)</f>
        <v>66</v>
      </c>
      <c r="AE35" s="2251"/>
      <c r="AF35" s="2251"/>
      <c r="AG35" s="2251"/>
      <c r="AH35" s="2251"/>
      <c r="AI35" s="2251"/>
      <c r="AJ35" s="2251"/>
      <c r="AK35" s="326"/>
      <c r="AL35" s="2251" t="str">
        <f>IF(TITLE_NUMBER_PR_CHANGE="",IF(TITLE_NUMBER_PR="","",TITLE_NUMBER_PR),TITLE_NUMBER_PR_CHANGE)</f>
        <v>66</v>
      </c>
      <c r="AM35" s="2251"/>
      <c r="AN35" s="2251"/>
      <c r="AO35" s="2251"/>
      <c r="AP35" s="2251"/>
      <c r="AQ35" s="2251"/>
      <c r="AR35" s="2251"/>
      <c r="AS35" s="1635"/>
      <c r="AT35" s="2251" t="str">
        <f>IF(TITLE_NUMBER_PR_CHANGE="",IF(TITLE_NUMBER_PR="","",TITLE_NUMBER_PR),TITLE_NUMBER_PR_CHANGE)</f>
        <v>66</v>
      </c>
      <c r="AU35" s="2251"/>
      <c r="AV35" s="2251"/>
      <c r="AW35" s="2251"/>
      <c r="AX35" s="2251"/>
      <c r="AY35" s="2251"/>
      <c r="AZ35" s="2251"/>
      <c r="BA35" s="1635"/>
      <c r="BB35" s="2251" t="str">
        <f>IF(TITLE_NUMBER_PR_CHANGE="",IF(TITLE_NUMBER_PR="","",TITLE_NUMBER_PR),TITLE_NUMBER_PR_CHANGE)</f>
        <v>66</v>
      </c>
      <c r="BC35" s="2251"/>
      <c r="BD35" s="2251"/>
      <c r="BE35" s="2251"/>
      <c r="BF35" s="2251"/>
      <c r="BG35" s="2251"/>
      <c r="BH35" s="2251"/>
      <c r="BI35" s="1635"/>
      <c r="BJ35" s="2251" t="str">
        <f>IF(TITLE_NUMBER_PR_CHANGE="",IF(TITLE_NUMBER_PR="","",TITLE_NUMBER_PR),TITLE_NUMBER_PR_CHANGE)</f>
        <v>66</v>
      </c>
      <c r="BK35" s="2251"/>
      <c r="BL35" s="2251"/>
      <c r="BM35" s="2251"/>
      <c r="BN35" s="2251"/>
      <c r="BO35" s="2251"/>
      <c r="BP35" s="2251"/>
      <c r="BQ35" s="1635"/>
      <c r="BR35" s="2251" t="str">
        <f>IF(TITLE_NUMBER_PR_CHANGE="",IF(TITLE_NUMBER_PR="","",TITLE_NUMBER_PR),TITLE_NUMBER_PR_CHANGE)</f>
        <v>66</v>
      </c>
      <c r="BS35" s="2251"/>
      <c r="BT35" s="2251"/>
      <c r="BU35" s="2251"/>
      <c r="BV35" s="2251"/>
      <c r="BW35" s="2251"/>
      <c r="BX35" s="2251"/>
      <c r="BY35" s="1635"/>
      <c r="BZ35" s="2251" t="str">
        <f>IF(TITLE_NUMBER_PR_CHANGE="",IF(TITLE_NUMBER_PR="","",TITLE_NUMBER_PR),TITLE_NUMBER_PR_CHANGE)</f>
        <v>66</v>
      </c>
      <c r="CA35" s="2251"/>
      <c r="CB35" s="2251"/>
      <c r="CC35" s="2251"/>
      <c r="CD35" s="2251"/>
      <c r="CE35" s="2251"/>
      <c r="CF35" s="2251"/>
      <c r="CG35" s="1635"/>
      <c r="CH35" s="2251" t="str">
        <f>IF(TITLE_NUMBER_PR_CHANGE="",IF(TITLE_NUMBER_PR="","",TITLE_NUMBER_PR),TITLE_NUMBER_PR_CHANGE)</f>
        <v>66</v>
      </c>
      <c r="CI35" s="2251"/>
      <c r="CJ35" s="2251"/>
      <c r="CK35" s="2251"/>
      <c r="CL35" s="2251"/>
      <c r="CM35" s="2251"/>
      <c r="CN35" s="2251"/>
      <c r="CO35" s="1635"/>
      <c r="CP35" s="2251" t="str">
        <f>IF(TITLE_NUMBER_PR_CHANGE="",IF(TITLE_NUMBER_PR="","",TITLE_NUMBER_PR),TITLE_NUMBER_PR_CHANGE)</f>
        <v>66</v>
      </c>
      <c r="CQ35" s="2251"/>
      <c r="CR35" s="2251"/>
      <c r="CS35" s="2251"/>
      <c r="CT35" s="2251"/>
      <c r="CU35" s="2251"/>
      <c r="CV35" s="2251"/>
      <c r="CW35" s="1635"/>
      <c r="CX35" s="2251" t="str">
        <f>IF(TITLE_NUMBER_PR_CHANGE="",IF(TITLE_NUMBER_PR="","",TITLE_NUMBER_PR),TITLE_NUMBER_PR_CHANGE)</f>
        <v>66</v>
      </c>
      <c r="CY35" s="2251"/>
      <c r="CZ35" s="2251"/>
      <c r="DA35" s="2251"/>
      <c r="DB35" s="2251"/>
      <c r="DC35" s="2251"/>
      <c r="DD35" s="2251"/>
      <c r="DE35" s="1635"/>
      <c r="DF35" s="2251" t="str">
        <f>IF(TITLE_NUMBER_PR_CHANGE="",IF(TITLE_NUMBER_PR="","",TITLE_NUMBER_PR),TITLE_NUMBER_PR_CHANGE)</f>
        <v>66</v>
      </c>
      <c r="DG35" s="2251"/>
      <c r="DH35" s="2251"/>
      <c r="DI35" s="2251"/>
      <c r="DJ35" s="2251"/>
      <c r="DK35" s="2251"/>
      <c r="DL35" s="2251"/>
      <c r="DM35" s="1635"/>
      <c r="DN35" s="2251" t="str">
        <f>IF(TITLE_NUMBER_PR_CHANGE="",IF(TITLE_NUMBER_PR="","",TITLE_NUMBER_PR),TITLE_NUMBER_PR_CHANGE)</f>
        <v>66</v>
      </c>
      <c r="DO35" s="2251"/>
      <c r="DP35" s="2251"/>
      <c r="DQ35" s="2251"/>
      <c r="DR35" s="2251"/>
      <c r="DS35" s="2251"/>
      <c r="DT35" s="2251"/>
      <c r="DU35" s="1635"/>
      <c r="DV35" s="326"/>
      <c r="DW35" s="280"/>
      <c r="DX35" s="368"/>
      <c r="DY35" s="368"/>
      <c r="DZ35" s="368"/>
      <c r="EA35" s="368"/>
      <c r="EB35" s="368"/>
      <c r="EC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432</v>
      </c>
      <c r="AD36" s="326"/>
      <c r="AE36" s="326"/>
      <c r="AF36" s="326"/>
      <c r="AG36" s="326"/>
      <c r="AH36" s="326"/>
      <c r="AI36" s="326"/>
      <c r="AJ36" s="326"/>
      <c r="AK36" s="278" t="s">
        <v>432</v>
      </c>
      <c r="AL36" s="1635"/>
      <c r="AM36" s="1635"/>
      <c r="AN36" s="1635"/>
      <c r="AO36" s="1635"/>
      <c r="AP36" s="1635"/>
      <c r="AQ36" s="1635"/>
      <c r="AR36" s="1635"/>
      <c r="AS36" s="1642" t="s">
        <v>432</v>
      </c>
      <c r="AT36" s="1635"/>
      <c r="AU36" s="1635"/>
      <c r="AV36" s="1635"/>
      <c r="AW36" s="1635"/>
      <c r="AX36" s="1635"/>
      <c r="AY36" s="1635"/>
      <c r="AZ36" s="1635"/>
      <c r="BA36" s="1642" t="s">
        <v>432</v>
      </c>
      <c r="BB36" s="1635"/>
      <c r="BC36" s="1635"/>
      <c r="BD36" s="1635"/>
      <c r="BE36" s="1635"/>
      <c r="BF36" s="1635"/>
      <c r="BG36" s="1635"/>
      <c r="BH36" s="1635"/>
      <c r="BI36" s="1642" t="s">
        <v>432</v>
      </c>
      <c r="BJ36" s="1635"/>
      <c r="BK36" s="1635"/>
      <c r="BL36" s="1635"/>
      <c r="BM36" s="1635"/>
      <c r="BN36" s="1635"/>
      <c r="BO36" s="1635"/>
      <c r="BP36" s="1635"/>
      <c r="BQ36" s="1642" t="s">
        <v>432</v>
      </c>
      <c r="BR36" s="1635"/>
      <c r="BS36" s="1635"/>
      <c r="BT36" s="1635"/>
      <c r="BU36" s="1635"/>
      <c r="BV36" s="1635"/>
      <c r="BW36" s="1635"/>
      <c r="BX36" s="1635"/>
      <c r="BY36" s="1642" t="s">
        <v>432</v>
      </c>
      <c r="BZ36" s="1635"/>
      <c r="CA36" s="1635"/>
      <c r="CB36" s="1635"/>
      <c r="CC36" s="1635"/>
      <c r="CD36" s="1635"/>
      <c r="CE36" s="1635"/>
      <c r="CF36" s="1635"/>
      <c r="CG36" s="1642" t="s">
        <v>432</v>
      </c>
      <c r="CH36" s="1635"/>
      <c r="CI36" s="1635"/>
      <c r="CJ36" s="1635"/>
      <c r="CK36" s="1635"/>
      <c r="CL36" s="1635"/>
      <c r="CM36" s="1635"/>
      <c r="CN36" s="1635"/>
      <c r="CO36" s="1642" t="s">
        <v>432</v>
      </c>
      <c r="CP36" s="1635"/>
      <c r="CQ36" s="1635"/>
      <c r="CR36" s="1635"/>
      <c r="CS36" s="1635"/>
      <c r="CT36" s="1635"/>
      <c r="CU36" s="1635"/>
      <c r="CV36" s="1635"/>
      <c r="CW36" s="1642" t="s">
        <v>432</v>
      </c>
      <c r="CX36" s="1635"/>
      <c r="CY36" s="1635"/>
      <c r="CZ36" s="1635"/>
      <c r="DA36" s="1635"/>
      <c r="DB36" s="1635"/>
      <c r="DC36" s="1635"/>
      <c r="DD36" s="1635"/>
      <c r="DE36" s="1642" t="s">
        <v>432</v>
      </c>
      <c r="DF36" s="1635"/>
      <c r="DG36" s="1635"/>
      <c r="DH36" s="1635"/>
      <c r="DI36" s="1635"/>
      <c r="DJ36" s="1635"/>
      <c r="DK36" s="1635"/>
      <c r="DL36" s="1635"/>
      <c r="DM36" s="1642" t="s">
        <v>432</v>
      </c>
      <c r="DN36" s="1635"/>
      <c r="DO36" s="1635"/>
      <c r="DP36" s="1635"/>
      <c r="DQ36" s="1635"/>
      <c r="DR36" s="1635"/>
      <c r="DS36" s="1635"/>
      <c r="DT36" s="1635"/>
      <c r="DU36" s="1642" t="s">
        <v>432</v>
      </c>
      <c r="DX36" s="368"/>
      <c r="DY36" s="368"/>
      <c r="DZ36" s="368"/>
      <c r="EA36" s="368"/>
      <c r="EB36" s="368"/>
      <c r="EC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L37" s="2252" t="s">
        <v>453</v>
      </c>
      <c r="AM37" s="2252"/>
      <c r="AN37" s="2252"/>
      <c r="AO37" s="2252"/>
      <c r="AP37" s="2252"/>
      <c r="AQ37" s="2252"/>
      <c r="AR37" s="2252"/>
      <c r="AS37" s="2252"/>
      <c r="AT37" s="2252" t="s">
        <v>453</v>
      </c>
      <c r="AU37" s="2252"/>
      <c r="AV37" s="2252"/>
      <c r="AW37" s="2252"/>
      <c r="AX37" s="2252"/>
      <c r="AY37" s="2252"/>
      <c r="AZ37" s="2252"/>
      <c r="BA37" s="2252"/>
      <c r="BB37" s="2252" t="s">
        <v>453</v>
      </c>
      <c r="BC37" s="2252"/>
      <c r="BD37" s="2252"/>
      <c r="BE37" s="2252"/>
      <c r="BF37" s="2252"/>
      <c r="BG37" s="2252"/>
      <c r="BH37" s="2252"/>
      <c r="BI37" s="2252"/>
      <c r="BJ37" s="2252" t="s">
        <v>453</v>
      </c>
      <c r="BK37" s="2252"/>
      <c r="BL37" s="2252"/>
      <c r="BM37" s="2252"/>
      <c r="BN37" s="2252"/>
      <c r="BO37" s="2252"/>
      <c r="BP37" s="2252"/>
      <c r="BQ37" s="2252"/>
      <c r="BR37" s="2252" t="s">
        <v>453</v>
      </c>
      <c r="BS37" s="2252"/>
      <c r="BT37" s="2252"/>
      <c r="BU37" s="2252"/>
      <c r="BV37" s="2252"/>
      <c r="BW37" s="2252"/>
      <c r="BX37" s="2252"/>
      <c r="BY37" s="2252"/>
      <c r="BZ37" s="2252" t="s">
        <v>453</v>
      </c>
      <c r="CA37" s="2252"/>
      <c r="CB37" s="2252"/>
      <c r="CC37" s="2252"/>
      <c r="CD37" s="2252"/>
      <c r="CE37" s="2252"/>
      <c r="CF37" s="2252"/>
      <c r="CG37" s="2252"/>
      <c r="CH37" s="2252" t="s">
        <v>453</v>
      </c>
      <c r="CI37" s="2252"/>
      <c r="CJ37" s="2252"/>
      <c r="CK37" s="2252"/>
      <c r="CL37" s="2252"/>
      <c r="CM37" s="2252"/>
      <c r="CN37" s="2252"/>
      <c r="CO37" s="2252"/>
      <c r="CP37" s="2252" t="s">
        <v>453</v>
      </c>
      <c r="CQ37" s="2252"/>
      <c r="CR37" s="2252"/>
      <c r="CS37" s="2252"/>
      <c r="CT37" s="2252"/>
      <c r="CU37" s="2252"/>
      <c r="CV37" s="2252"/>
      <c r="CW37" s="2252"/>
      <c r="CX37" s="2252" t="s">
        <v>453</v>
      </c>
      <c r="CY37" s="2252"/>
      <c r="CZ37" s="2252"/>
      <c r="DA37" s="2252"/>
      <c r="DB37" s="2252"/>
      <c r="DC37" s="2252"/>
      <c r="DD37" s="2252"/>
      <c r="DE37" s="2252"/>
      <c r="DF37" s="2252" t="s">
        <v>453</v>
      </c>
      <c r="DG37" s="2252"/>
      <c r="DH37" s="2252"/>
      <c r="DI37" s="2252"/>
      <c r="DJ37" s="2252"/>
      <c r="DK37" s="2252"/>
      <c r="DL37" s="2252"/>
      <c r="DM37" s="2252"/>
      <c r="DN37" s="2252" t="s">
        <v>453</v>
      </c>
      <c r="DO37" s="2252"/>
      <c r="DP37" s="2252"/>
      <c r="DQ37" s="2252"/>
      <c r="DR37" s="2252"/>
      <c r="DS37" s="2252"/>
      <c r="DT37" s="2252"/>
      <c r="DU37" s="2252"/>
      <c r="EC37" s="1155">
        <v>14</v>
      </c>
    </row>
    <row customHeight="1" ht="14.699999999999998">
      <c r="Q38" s="376"/>
      <c r="R38" s="376"/>
      <c r="S38" s="2127" t="s">
        <v>308</v>
      </c>
      <c r="T38" s="2127"/>
      <c r="U38" s="2127"/>
      <c r="V38" s="2127"/>
      <c r="W38" s="2127"/>
      <c r="X38" s="2127"/>
      <c r="Y38" s="2127"/>
      <c r="Z38" s="2127"/>
      <c r="AA38" s="2127"/>
      <c r="AB38" s="2127"/>
      <c r="AC38" s="2127"/>
      <c r="AD38" s="2127"/>
      <c r="AE38" s="2127"/>
      <c r="AF38" s="2127"/>
      <c r="AG38" s="2127"/>
      <c r="AH38" s="2127"/>
      <c r="AI38" s="2127"/>
      <c r="AJ38" s="2127"/>
      <c r="AK38" s="2127"/>
      <c r="AL38" s="2312" t="s">
        <v>308</v>
      </c>
      <c r="AM38" s="2312"/>
      <c r="AN38" s="2312"/>
      <c r="AO38" s="2312"/>
      <c r="AP38" s="2312"/>
      <c r="AQ38" s="2312"/>
      <c r="AR38" s="2312"/>
      <c r="AS38" s="2312"/>
      <c r="AT38" s="2312" t="s">
        <v>308</v>
      </c>
      <c r="AU38" s="2312"/>
      <c r="AV38" s="2312"/>
      <c r="AW38" s="2312"/>
      <c r="AX38" s="2312"/>
      <c r="AY38" s="2312"/>
      <c r="AZ38" s="2312"/>
      <c r="BA38" s="2312"/>
      <c r="BB38" s="2312" t="s">
        <v>308</v>
      </c>
      <c r="BC38" s="2312"/>
      <c r="BD38" s="2312"/>
      <c r="BE38" s="2312"/>
      <c r="BF38" s="2312"/>
      <c r="BG38" s="2312"/>
      <c r="BH38" s="2312"/>
      <c r="BI38" s="2312"/>
      <c r="BJ38" s="2312" t="s">
        <v>308</v>
      </c>
      <c r="BK38" s="2312"/>
      <c r="BL38" s="2312"/>
      <c r="BM38" s="2312"/>
      <c r="BN38" s="2312"/>
      <c r="BO38" s="2312"/>
      <c r="BP38" s="2312"/>
      <c r="BQ38" s="2312"/>
      <c r="BR38" s="2312" t="s">
        <v>308</v>
      </c>
      <c r="BS38" s="2312"/>
      <c r="BT38" s="2312"/>
      <c r="BU38" s="2312"/>
      <c r="BV38" s="2312"/>
      <c r="BW38" s="2312"/>
      <c r="BX38" s="2312"/>
      <c r="BY38" s="2312"/>
      <c r="BZ38" s="2312" t="s">
        <v>308</v>
      </c>
      <c r="CA38" s="2312"/>
      <c r="CB38" s="2312"/>
      <c r="CC38" s="2312"/>
      <c r="CD38" s="2312"/>
      <c r="CE38" s="2312"/>
      <c r="CF38" s="2312"/>
      <c r="CG38" s="2312"/>
      <c r="CH38" s="2312" t="s">
        <v>308</v>
      </c>
      <c r="CI38" s="2312"/>
      <c r="CJ38" s="2312"/>
      <c r="CK38" s="2312"/>
      <c r="CL38" s="2312"/>
      <c r="CM38" s="2312"/>
      <c r="CN38" s="2312"/>
      <c r="CO38" s="2312"/>
      <c r="CP38" s="2312" t="s">
        <v>308</v>
      </c>
      <c r="CQ38" s="2312"/>
      <c r="CR38" s="2312"/>
      <c r="CS38" s="2312"/>
      <c r="CT38" s="2312"/>
      <c r="CU38" s="2312"/>
      <c r="CV38" s="2312"/>
      <c r="CW38" s="2312"/>
      <c r="CX38" s="2312" t="s">
        <v>308</v>
      </c>
      <c r="CY38" s="2312"/>
      <c r="CZ38" s="2312"/>
      <c r="DA38" s="2312"/>
      <c r="DB38" s="2312"/>
      <c r="DC38" s="2312"/>
      <c r="DD38" s="2312"/>
      <c r="DE38" s="2312"/>
      <c r="DF38" s="2312" t="s">
        <v>308</v>
      </c>
      <c r="DG38" s="2312"/>
      <c r="DH38" s="2312"/>
      <c r="DI38" s="2312"/>
      <c r="DJ38" s="2312"/>
      <c r="DK38" s="2312"/>
      <c r="DL38" s="2312"/>
      <c r="DM38" s="2312"/>
      <c r="DN38" s="2312" t="s">
        <v>308</v>
      </c>
      <c r="DO38" s="2312"/>
      <c r="DP38" s="2312"/>
      <c r="DQ38" s="2312"/>
      <c r="DR38" s="2312"/>
      <c r="DS38" s="2312"/>
      <c r="DT38" s="2312"/>
      <c r="DU38" s="2312"/>
      <c r="DV38" s="2127"/>
      <c r="DW38" s="2127"/>
      <c r="EC38" s="1155"/>
    </row>
    <row customHeight="1" ht="14.699999999999998">
      <c r="Q39" s="376"/>
      <c r="R39" s="376"/>
      <c r="S39" s="2273" t="s">
        <v>92</v>
      </c>
      <c r="T39" s="2209" t="s">
        <v>433</v>
      </c>
      <c r="U39" s="301"/>
      <c r="V39" s="2274" t="s">
        <v>434</v>
      </c>
      <c r="W39" s="2275"/>
      <c r="X39" s="2275"/>
      <c r="Y39" s="2275"/>
      <c r="Z39" s="2275"/>
      <c r="AA39" s="2275"/>
      <c r="AB39" s="2276"/>
      <c r="AC39" s="2277" t="s">
        <v>435</v>
      </c>
      <c r="AD39" s="2274" t="s">
        <v>434</v>
      </c>
      <c r="AE39" s="2275"/>
      <c r="AF39" s="2275"/>
      <c r="AG39" s="2275"/>
      <c r="AH39" s="2275"/>
      <c r="AI39" s="2275"/>
      <c r="AJ39" s="2276"/>
      <c r="AK39" s="2277" t="s">
        <v>436</v>
      </c>
      <c r="AL39" s="2399" t="s">
        <v>434</v>
      </c>
      <c r="AM39" s="2400"/>
      <c r="AN39" s="2400"/>
      <c r="AO39" s="2400"/>
      <c r="AP39" s="2400"/>
      <c r="AQ39" s="2400"/>
      <c r="AR39" s="2401"/>
      <c r="AS39" s="2277" t="s">
        <v>435</v>
      </c>
      <c r="AT39" s="2399" t="s">
        <v>434</v>
      </c>
      <c r="AU39" s="2400"/>
      <c r="AV39" s="2400"/>
      <c r="AW39" s="2400"/>
      <c r="AX39" s="2400"/>
      <c r="AY39" s="2400"/>
      <c r="AZ39" s="2401"/>
      <c r="BA39" s="2277" t="s">
        <v>435</v>
      </c>
      <c r="BB39" s="2399" t="s">
        <v>434</v>
      </c>
      <c r="BC39" s="2400"/>
      <c r="BD39" s="2400"/>
      <c r="BE39" s="2400"/>
      <c r="BF39" s="2400"/>
      <c r="BG39" s="2400"/>
      <c r="BH39" s="2401"/>
      <c r="BI39" s="2277" t="s">
        <v>435</v>
      </c>
      <c r="BJ39" s="2399" t="s">
        <v>434</v>
      </c>
      <c r="BK39" s="2400"/>
      <c r="BL39" s="2400"/>
      <c r="BM39" s="2400"/>
      <c r="BN39" s="2400"/>
      <c r="BO39" s="2400"/>
      <c r="BP39" s="2401"/>
      <c r="BQ39" s="2277" t="s">
        <v>435</v>
      </c>
      <c r="BR39" s="2399" t="s">
        <v>434</v>
      </c>
      <c r="BS39" s="2400"/>
      <c r="BT39" s="2400"/>
      <c r="BU39" s="2400"/>
      <c r="BV39" s="2400"/>
      <c r="BW39" s="2400"/>
      <c r="BX39" s="2401"/>
      <c r="BY39" s="2277" t="s">
        <v>435</v>
      </c>
      <c r="BZ39" s="2399" t="s">
        <v>434</v>
      </c>
      <c r="CA39" s="2400"/>
      <c r="CB39" s="2400"/>
      <c r="CC39" s="2400"/>
      <c r="CD39" s="2400"/>
      <c r="CE39" s="2400"/>
      <c r="CF39" s="2401"/>
      <c r="CG39" s="2277" t="s">
        <v>435</v>
      </c>
      <c r="CH39" s="2399" t="s">
        <v>434</v>
      </c>
      <c r="CI39" s="2400"/>
      <c r="CJ39" s="2400"/>
      <c r="CK39" s="2400"/>
      <c r="CL39" s="2400"/>
      <c r="CM39" s="2400"/>
      <c r="CN39" s="2401"/>
      <c r="CO39" s="2277" t="s">
        <v>435</v>
      </c>
      <c r="CP39" s="2399" t="s">
        <v>434</v>
      </c>
      <c r="CQ39" s="2400"/>
      <c r="CR39" s="2400"/>
      <c r="CS39" s="2400"/>
      <c r="CT39" s="2400"/>
      <c r="CU39" s="2400"/>
      <c r="CV39" s="2401"/>
      <c r="CW39" s="2277" t="s">
        <v>435</v>
      </c>
      <c r="CX39" s="2399" t="s">
        <v>434</v>
      </c>
      <c r="CY39" s="2400"/>
      <c r="CZ39" s="2400"/>
      <c r="DA39" s="2400"/>
      <c r="DB39" s="2400"/>
      <c r="DC39" s="2400"/>
      <c r="DD39" s="2401"/>
      <c r="DE39" s="2277" t="s">
        <v>435</v>
      </c>
      <c r="DF39" s="2399" t="s">
        <v>434</v>
      </c>
      <c r="DG39" s="2400"/>
      <c r="DH39" s="2400"/>
      <c r="DI39" s="2400"/>
      <c r="DJ39" s="2400"/>
      <c r="DK39" s="2400"/>
      <c r="DL39" s="2401"/>
      <c r="DM39" s="2277" t="s">
        <v>435</v>
      </c>
      <c r="DN39" s="2399" t="s">
        <v>434</v>
      </c>
      <c r="DO39" s="2400"/>
      <c r="DP39" s="2400"/>
      <c r="DQ39" s="2400"/>
      <c r="DR39" s="2400"/>
      <c r="DS39" s="2400"/>
      <c r="DT39" s="2401"/>
      <c r="DU39" s="2277" t="s">
        <v>435</v>
      </c>
      <c r="DV39" s="2280" t="s">
        <v>437</v>
      </c>
      <c r="DW39" s="2127"/>
      <c r="EC39" s="1155">
        <v>14</v>
      </c>
    </row>
    <row customHeight="1" ht="35.699999999999996">
      <c r="Q40" s="376"/>
      <c r="R40" s="376"/>
      <c r="S40" s="2273"/>
      <c r="T40" s="2209"/>
      <c r="U40" s="1031"/>
      <c r="V40" s="2260" t="s">
        <v>438</v>
      </c>
      <c r="W40" s="2283" t="s">
        <v>439</v>
      </c>
      <c r="X40" s="2262" t="s">
        <v>440</v>
      </c>
      <c r="Y40" s="2263"/>
      <c r="Z40" s="2262" t="s">
        <v>454</v>
      </c>
      <c r="AA40" s="2269"/>
      <c r="AB40" s="2263"/>
      <c r="AC40" s="2278"/>
      <c r="AD40" s="2260" t="s">
        <v>438</v>
      </c>
      <c r="AE40" s="2283" t="s">
        <v>439</v>
      </c>
      <c r="AF40" s="2262" t="s">
        <v>440</v>
      </c>
      <c r="AG40" s="2263"/>
      <c r="AH40" s="2262" t="s">
        <v>441</v>
      </c>
      <c r="AI40" s="2269"/>
      <c r="AJ40" s="2263"/>
      <c r="AK40" s="2278"/>
      <c r="AL40" s="2260" t="s">
        <v>438</v>
      </c>
      <c r="AM40" s="2610" t="s">
        <v>439</v>
      </c>
      <c r="AN40" s="2262" t="s">
        <v>440</v>
      </c>
      <c r="AO40" s="2263"/>
      <c r="AP40" s="2262" t="s">
        <v>454</v>
      </c>
      <c r="AQ40" s="2269"/>
      <c r="AR40" s="2263"/>
      <c r="AS40" s="2278"/>
      <c r="AT40" s="2260" t="s">
        <v>438</v>
      </c>
      <c r="AU40" s="2610" t="s">
        <v>439</v>
      </c>
      <c r="AV40" s="2262" t="s">
        <v>440</v>
      </c>
      <c r="AW40" s="2263"/>
      <c r="AX40" s="2262" t="s">
        <v>454</v>
      </c>
      <c r="AY40" s="2269"/>
      <c r="AZ40" s="2263"/>
      <c r="BA40" s="2278"/>
      <c r="BB40" s="2260" t="s">
        <v>438</v>
      </c>
      <c r="BC40" s="2610" t="s">
        <v>439</v>
      </c>
      <c r="BD40" s="2262" t="s">
        <v>440</v>
      </c>
      <c r="BE40" s="2263"/>
      <c r="BF40" s="2262" t="s">
        <v>454</v>
      </c>
      <c r="BG40" s="2269"/>
      <c r="BH40" s="2263"/>
      <c r="BI40" s="2278"/>
      <c r="BJ40" s="2260" t="s">
        <v>438</v>
      </c>
      <c r="BK40" s="2610" t="s">
        <v>439</v>
      </c>
      <c r="BL40" s="2262" t="s">
        <v>440</v>
      </c>
      <c r="BM40" s="2263"/>
      <c r="BN40" s="2262" t="s">
        <v>454</v>
      </c>
      <c r="BO40" s="2269"/>
      <c r="BP40" s="2263"/>
      <c r="BQ40" s="2278"/>
      <c r="BR40" s="2260" t="s">
        <v>438</v>
      </c>
      <c r="BS40" s="2610" t="s">
        <v>439</v>
      </c>
      <c r="BT40" s="2262" t="s">
        <v>440</v>
      </c>
      <c r="BU40" s="2263"/>
      <c r="BV40" s="2262" t="s">
        <v>454</v>
      </c>
      <c r="BW40" s="2269"/>
      <c r="BX40" s="2263"/>
      <c r="BY40" s="2278"/>
      <c r="BZ40" s="2260" t="s">
        <v>438</v>
      </c>
      <c r="CA40" s="2610" t="s">
        <v>439</v>
      </c>
      <c r="CB40" s="2262" t="s">
        <v>440</v>
      </c>
      <c r="CC40" s="2263"/>
      <c r="CD40" s="2262" t="s">
        <v>454</v>
      </c>
      <c r="CE40" s="2269"/>
      <c r="CF40" s="2263"/>
      <c r="CG40" s="2278"/>
      <c r="CH40" s="2260" t="s">
        <v>438</v>
      </c>
      <c r="CI40" s="2610" t="s">
        <v>439</v>
      </c>
      <c r="CJ40" s="2262" t="s">
        <v>440</v>
      </c>
      <c r="CK40" s="2263"/>
      <c r="CL40" s="2262" t="s">
        <v>454</v>
      </c>
      <c r="CM40" s="2269"/>
      <c r="CN40" s="2263"/>
      <c r="CO40" s="2278"/>
      <c r="CP40" s="2260" t="s">
        <v>438</v>
      </c>
      <c r="CQ40" s="2610" t="s">
        <v>439</v>
      </c>
      <c r="CR40" s="2262" t="s">
        <v>440</v>
      </c>
      <c r="CS40" s="2263"/>
      <c r="CT40" s="2262" t="s">
        <v>454</v>
      </c>
      <c r="CU40" s="2269"/>
      <c r="CV40" s="2263"/>
      <c r="CW40" s="2278"/>
      <c r="CX40" s="2260" t="s">
        <v>438</v>
      </c>
      <c r="CY40" s="2610" t="s">
        <v>439</v>
      </c>
      <c r="CZ40" s="2262" t="s">
        <v>440</v>
      </c>
      <c r="DA40" s="2263"/>
      <c r="DB40" s="2262" t="s">
        <v>454</v>
      </c>
      <c r="DC40" s="2269"/>
      <c r="DD40" s="2263"/>
      <c r="DE40" s="2278"/>
      <c r="DF40" s="2260" t="s">
        <v>438</v>
      </c>
      <c r="DG40" s="2610" t="s">
        <v>439</v>
      </c>
      <c r="DH40" s="2262" t="s">
        <v>440</v>
      </c>
      <c r="DI40" s="2263"/>
      <c r="DJ40" s="2262" t="s">
        <v>454</v>
      </c>
      <c r="DK40" s="2269"/>
      <c r="DL40" s="2263"/>
      <c r="DM40" s="2278"/>
      <c r="DN40" s="2260" t="s">
        <v>438</v>
      </c>
      <c r="DO40" s="2610" t="s">
        <v>439</v>
      </c>
      <c r="DP40" s="2262" t="s">
        <v>440</v>
      </c>
      <c r="DQ40" s="2263"/>
      <c r="DR40" s="2262" t="s">
        <v>454</v>
      </c>
      <c r="DS40" s="2269"/>
      <c r="DT40" s="2263"/>
      <c r="DU40" s="2278"/>
      <c r="DV40" s="2281"/>
      <c r="DW40" s="2127"/>
      <c r="EC40" s="1155">
        <v>34</v>
      </c>
    </row>
    <row customHeight="1" ht="35.699999999999996">
      <c r="A41" s="1370"/>
      <c r="B41" s="1370" t="s">
        <v>139</v>
      </c>
      <c r="C41" s="1370" t="s">
        <v>140</v>
      </c>
      <c r="D41" s="1370" t="s">
        <v>141</v>
      </c>
      <c r="E41" s="1364" t="s">
        <v>442</v>
      </c>
      <c r="F41" s="1364" t="s">
        <v>443</v>
      </c>
      <c r="G41" s="1364" t="s">
        <v>444</v>
      </c>
      <c r="H41" s="1364" t="s">
        <v>445</v>
      </c>
      <c r="I41" s="1364" t="s">
        <v>446</v>
      </c>
      <c r="J41" s="1364" t="s">
        <v>447</v>
      </c>
      <c r="K41" s="1364" t="s">
        <v>448</v>
      </c>
      <c r="L41" s="1364" t="s">
        <v>423</v>
      </c>
      <c r="Q41" s="376"/>
      <c r="R41" s="376"/>
      <c r="S41" s="2273"/>
      <c r="T41" s="2209"/>
      <c r="U41" s="302"/>
      <c r="V41" s="2261"/>
      <c r="W41" s="2284"/>
      <c r="X41" s="1222" t="s">
        <v>449</v>
      </c>
      <c r="Y41" s="1222" t="s">
        <v>450</v>
      </c>
      <c r="Z41" s="1338" t="s">
        <v>451</v>
      </c>
      <c r="AA41" s="2270" t="s">
        <v>452</v>
      </c>
      <c r="AB41" s="2271"/>
      <c r="AC41" s="2279"/>
      <c r="AD41" s="2261"/>
      <c r="AE41" s="2284"/>
      <c r="AF41" s="1222" t="s">
        <v>449</v>
      </c>
      <c r="AG41" s="1222" t="s">
        <v>450</v>
      </c>
      <c r="AH41" s="1338" t="s">
        <v>451</v>
      </c>
      <c r="AI41" s="2270" t="s">
        <v>452</v>
      </c>
      <c r="AJ41" s="2271"/>
      <c r="AK41" s="2279"/>
      <c r="AL41" s="2261"/>
      <c r="AM41" s="2284"/>
      <c r="AN41" s="2577" t="s">
        <v>449</v>
      </c>
      <c r="AO41" s="2577" t="s">
        <v>450</v>
      </c>
      <c r="AP41" s="2577" t="s">
        <v>451</v>
      </c>
      <c r="AQ41" s="2270" t="s">
        <v>452</v>
      </c>
      <c r="AR41" s="2271"/>
      <c r="AS41" s="2279"/>
      <c r="AT41" s="2261"/>
      <c r="AU41" s="2284"/>
      <c r="AV41" s="2577" t="s">
        <v>449</v>
      </c>
      <c r="AW41" s="2577" t="s">
        <v>450</v>
      </c>
      <c r="AX41" s="2577" t="s">
        <v>451</v>
      </c>
      <c r="AY41" s="2270" t="s">
        <v>452</v>
      </c>
      <c r="AZ41" s="2271"/>
      <c r="BA41" s="2279"/>
      <c r="BB41" s="2261"/>
      <c r="BC41" s="2284"/>
      <c r="BD41" s="2577" t="s">
        <v>449</v>
      </c>
      <c r="BE41" s="2577" t="s">
        <v>450</v>
      </c>
      <c r="BF41" s="2577" t="s">
        <v>451</v>
      </c>
      <c r="BG41" s="2270" t="s">
        <v>452</v>
      </c>
      <c r="BH41" s="2271"/>
      <c r="BI41" s="2279"/>
      <c r="BJ41" s="2261"/>
      <c r="BK41" s="2284"/>
      <c r="BL41" s="2577" t="s">
        <v>449</v>
      </c>
      <c r="BM41" s="2577" t="s">
        <v>450</v>
      </c>
      <c r="BN41" s="2577" t="s">
        <v>451</v>
      </c>
      <c r="BO41" s="2270" t="s">
        <v>452</v>
      </c>
      <c r="BP41" s="2271"/>
      <c r="BQ41" s="2279"/>
      <c r="BR41" s="2261"/>
      <c r="BS41" s="2284"/>
      <c r="BT41" s="2577" t="s">
        <v>449</v>
      </c>
      <c r="BU41" s="2577" t="s">
        <v>450</v>
      </c>
      <c r="BV41" s="2577" t="s">
        <v>451</v>
      </c>
      <c r="BW41" s="2270" t="s">
        <v>452</v>
      </c>
      <c r="BX41" s="2271"/>
      <c r="BY41" s="2279"/>
      <c r="BZ41" s="2261"/>
      <c r="CA41" s="2284"/>
      <c r="CB41" s="2577" t="s">
        <v>449</v>
      </c>
      <c r="CC41" s="2577" t="s">
        <v>450</v>
      </c>
      <c r="CD41" s="2577" t="s">
        <v>451</v>
      </c>
      <c r="CE41" s="2270" t="s">
        <v>452</v>
      </c>
      <c r="CF41" s="2271"/>
      <c r="CG41" s="2279"/>
      <c r="CH41" s="2261"/>
      <c r="CI41" s="2284"/>
      <c r="CJ41" s="2577" t="s">
        <v>449</v>
      </c>
      <c r="CK41" s="2577" t="s">
        <v>450</v>
      </c>
      <c r="CL41" s="2577" t="s">
        <v>451</v>
      </c>
      <c r="CM41" s="2270" t="s">
        <v>452</v>
      </c>
      <c r="CN41" s="2271"/>
      <c r="CO41" s="2279"/>
      <c r="CP41" s="2261"/>
      <c r="CQ41" s="2284"/>
      <c r="CR41" s="2577" t="s">
        <v>449</v>
      </c>
      <c r="CS41" s="2577" t="s">
        <v>450</v>
      </c>
      <c r="CT41" s="2577" t="s">
        <v>451</v>
      </c>
      <c r="CU41" s="2270" t="s">
        <v>452</v>
      </c>
      <c r="CV41" s="2271"/>
      <c r="CW41" s="2279"/>
      <c r="CX41" s="2261"/>
      <c r="CY41" s="2284"/>
      <c r="CZ41" s="2577" t="s">
        <v>449</v>
      </c>
      <c r="DA41" s="2577" t="s">
        <v>450</v>
      </c>
      <c r="DB41" s="2577" t="s">
        <v>451</v>
      </c>
      <c r="DC41" s="2270" t="s">
        <v>452</v>
      </c>
      <c r="DD41" s="2271"/>
      <c r="DE41" s="2279"/>
      <c r="DF41" s="2261"/>
      <c r="DG41" s="2284"/>
      <c r="DH41" s="2577" t="s">
        <v>449</v>
      </c>
      <c r="DI41" s="2577" t="s">
        <v>450</v>
      </c>
      <c r="DJ41" s="2577" t="s">
        <v>451</v>
      </c>
      <c r="DK41" s="2270" t="s">
        <v>452</v>
      </c>
      <c r="DL41" s="2271"/>
      <c r="DM41" s="2279"/>
      <c r="DN41" s="2261"/>
      <c r="DO41" s="2284"/>
      <c r="DP41" s="2577" t="s">
        <v>449</v>
      </c>
      <c r="DQ41" s="2577" t="s">
        <v>450</v>
      </c>
      <c r="DR41" s="2577" t="s">
        <v>451</v>
      </c>
      <c r="DS41" s="2270" t="s">
        <v>452</v>
      </c>
      <c r="DT41" s="2271"/>
      <c r="DU41" s="2279"/>
      <c r="DV41" s="2282"/>
      <c r="DW41" s="2127"/>
      <c r="EC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113</v>
      </c>
      <c r="T42" s="1255" t="s">
        <v>114</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2272">
        <f>OFFSET(AL42,0,-1)+1</f>
        <v>6</v>
      </c>
      <c r="AM42" s="2272"/>
      <c r="AN42" s="2272">
        <f>OFFSET(AN42,0,-1)+1</f>
        <v>1</v>
      </c>
      <c r="AO42" s="2272">
        <f>OFFSET(AO42,0,-1)+1</f>
        <v>2</v>
      </c>
      <c r="AP42" s="2272">
        <f>OFFSET(AP42,0,-1)+1</f>
        <v>3</v>
      </c>
      <c r="AQ42" s="2272">
        <f>OFFSET(AQ42,0,-1)+1</f>
        <v>4</v>
      </c>
      <c r="AR42" s="2272"/>
      <c r="AS42" s="2272">
        <f>OFFSET(AS42,0,-2)+1</f>
        <v>5</v>
      </c>
      <c r="AT42" s="2272">
        <f>OFFSET(AT42,0,-1)+1</f>
        <v>6</v>
      </c>
      <c r="AU42" s="2272"/>
      <c r="AV42" s="2272">
        <f>OFFSET(AV42,0,-1)+1</f>
        <v>1</v>
      </c>
      <c r="AW42" s="2272">
        <f>OFFSET(AW42,0,-1)+1</f>
        <v>2</v>
      </c>
      <c r="AX42" s="2272">
        <f>OFFSET(AX42,0,-1)+1</f>
        <v>3</v>
      </c>
      <c r="AY42" s="2272">
        <f>OFFSET(AY42,0,-1)+1</f>
        <v>4</v>
      </c>
      <c r="AZ42" s="2272"/>
      <c r="BA42" s="2272">
        <f>OFFSET(BA42,0,-2)+1</f>
        <v>5</v>
      </c>
      <c r="BB42" s="2272">
        <f>OFFSET(BB42,0,-1)+1</f>
        <v>6</v>
      </c>
      <c r="BC42" s="2272"/>
      <c r="BD42" s="2272">
        <f>OFFSET(BD42,0,-1)+1</f>
        <v>1</v>
      </c>
      <c r="BE42" s="2272">
        <f>OFFSET(BE42,0,-1)+1</f>
        <v>2</v>
      </c>
      <c r="BF42" s="2272">
        <f>OFFSET(BF42,0,-1)+1</f>
        <v>3</v>
      </c>
      <c r="BG42" s="2272">
        <f>OFFSET(BG42,0,-1)+1</f>
        <v>4</v>
      </c>
      <c r="BH42" s="2272"/>
      <c r="BI42" s="2272">
        <f>OFFSET(BI42,0,-2)+1</f>
        <v>5</v>
      </c>
      <c r="BJ42" s="2272">
        <f>OFFSET(BJ42,0,-1)+1</f>
        <v>6</v>
      </c>
      <c r="BK42" s="2272"/>
      <c r="BL42" s="2272">
        <f>OFFSET(BL42,0,-1)+1</f>
        <v>1</v>
      </c>
      <c r="BM42" s="2272">
        <f>OFFSET(BM42,0,-1)+1</f>
        <v>2</v>
      </c>
      <c r="BN42" s="2272">
        <f>OFFSET(BN42,0,-1)+1</f>
        <v>3</v>
      </c>
      <c r="BO42" s="2272">
        <f>OFFSET(BO42,0,-1)+1</f>
        <v>4</v>
      </c>
      <c r="BP42" s="2272"/>
      <c r="BQ42" s="2272">
        <f>OFFSET(BQ42,0,-2)+1</f>
        <v>5</v>
      </c>
      <c r="BR42" s="2272">
        <f>OFFSET(BR42,0,-1)+1</f>
        <v>6</v>
      </c>
      <c r="BS42" s="2272"/>
      <c r="BT42" s="2272">
        <f>OFFSET(BT42,0,-1)+1</f>
        <v>1</v>
      </c>
      <c r="BU42" s="2272">
        <f>OFFSET(BU42,0,-1)+1</f>
        <v>2</v>
      </c>
      <c r="BV42" s="2272">
        <f>OFFSET(BV42,0,-1)+1</f>
        <v>3</v>
      </c>
      <c r="BW42" s="2272">
        <f>OFFSET(BW42,0,-1)+1</f>
        <v>4</v>
      </c>
      <c r="BX42" s="2272"/>
      <c r="BY42" s="2272">
        <f>OFFSET(BY42,0,-2)+1</f>
        <v>5</v>
      </c>
      <c r="BZ42" s="2272">
        <f>OFFSET(BZ42,0,-1)+1</f>
        <v>6</v>
      </c>
      <c r="CA42" s="2272"/>
      <c r="CB42" s="2272">
        <f>OFFSET(CB42,0,-1)+1</f>
        <v>1</v>
      </c>
      <c r="CC42" s="2272">
        <f>OFFSET(CC42,0,-1)+1</f>
        <v>2</v>
      </c>
      <c r="CD42" s="2272">
        <f>OFFSET(CD42,0,-1)+1</f>
        <v>3</v>
      </c>
      <c r="CE42" s="2272">
        <f>OFFSET(CE42,0,-1)+1</f>
        <v>4</v>
      </c>
      <c r="CF42" s="2272"/>
      <c r="CG42" s="2272">
        <f>OFFSET(CG42,0,-2)+1</f>
        <v>5</v>
      </c>
      <c r="CH42" s="2272">
        <f>OFFSET(CH42,0,-1)+1</f>
        <v>6</v>
      </c>
      <c r="CI42" s="2272"/>
      <c r="CJ42" s="2272">
        <f>OFFSET(CJ42,0,-1)+1</f>
        <v>1</v>
      </c>
      <c r="CK42" s="2272">
        <f>OFFSET(CK42,0,-1)+1</f>
        <v>2</v>
      </c>
      <c r="CL42" s="2272">
        <f>OFFSET(CL42,0,-1)+1</f>
        <v>3</v>
      </c>
      <c r="CM42" s="2272">
        <f>OFFSET(CM42,0,-1)+1</f>
        <v>4</v>
      </c>
      <c r="CN42" s="2272"/>
      <c r="CO42" s="2272">
        <f>OFFSET(CO42,0,-2)+1</f>
        <v>5</v>
      </c>
      <c r="CP42" s="2272">
        <f>OFFSET(CP42,0,-1)+1</f>
        <v>6</v>
      </c>
      <c r="CQ42" s="2272"/>
      <c r="CR42" s="2272">
        <f>OFFSET(CR42,0,-1)+1</f>
        <v>1</v>
      </c>
      <c r="CS42" s="2272">
        <f>OFFSET(CS42,0,-1)+1</f>
        <v>2</v>
      </c>
      <c r="CT42" s="2272">
        <f>OFFSET(CT42,0,-1)+1</f>
        <v>3</v>
      </c>
      <c r="CU42" s="2272">
        <f>OFFSET(CU42,0,-1)+1</f>
        <v>4</v>
      </c>
      <c r="CV42" s="2272"/>
      <c r="CW42" s="2272">
        <f>OFFSET(CW42,0,-2)+1</f>
        <v>5</v>
      </c>
      <c r="CX42" s="2272">
        <f>OFFSET(CX42,0,-1)+1</f>
        <v>6</v>
      </c>
      <c r="CY42" s="2272"/>
      <c r="CZ42" s="2272">
        <f>OFFSET(CZ42,0,-1)+1</f>
        <v>1</v>
      </c>
      <c r="DA42" s="2272">
        <f>OFFSET(DA42,0,-1)+1</f>
        <v>2</v>
      </c>
      <c r="DB42" s="2272">
        <f>OFFSET(DB42,0,-1)+1</f>
        <v>3</v>
      </c>
      <c r="DC42" s="2272">
        <f>OFFSET(DC42,0,-1)+1</f>
        <v>4</v>
      </c>
      <c r="DD42" s="2272"/>
      <c r="DE42" s="2272">
        <f>OFFSET(DE42,0,-2)+1</f>
        <v>5</v>
      </c>
      <c r="DF42" s="2272">
        <f>OFFSET(DF42,0,-1)+1</f>
        <v>6</v>
      </c>
      <c r="DG42" s="2272"/>
      <c r="DH42" s="2272">
        <f>OFFSET(DH42,0,-1)+1</f>
        <v>1</v>
      </c>
      <c r="DI42" s="2272">
        <f>OFFSET(DI42,0,-1)+1</f>
        <v>2</v>
      </c>
      <c r="DJ42" s="2272">
        <f>OFFSET(DJ42,0,-1)+1</f>
        <v>3</v>
      </c>
      <c r="DK42" s="2272">
        <f>OFFSET(DK42,0,-1)+1</f>
        <v>4</v>
      </c>
      <c r="DL42" s="2272"/>
      <c r="DM42" s="2272">
        <f>OFFSET(DM42,0,-2)+1</f>
        <v>5</v>
      </c>
      <c r="DN42" s="2272">
        <f>OFFSET(DN42,0,-1)+1</f>
        <v>6</v>
      </c>
      <c r="DO42" s="2272"/>
      <c r="DP42" s="2272">
        <f>OFFSET(DP42,0,-1)+1</f>
        <v>1</v>
      </c>
      <c r="DQ42" s="2272">
        <f>OFFSET(DQ42,0,-1)+1</f>
        <v>2</v>
      </c>
      <c r="DR42" s="2272">
        <f>OFFSET(DR42,0,-1)+1</f>
        <v>3</v>
      </c>
      <c r="DS42" s="2272">
        <f>OFFSET(DS42,0,-1)+1</f>
        <v>4</v>
      </c>
      <c r="DT42" s="2272"/>
      <c r="DU42" s="2272">
        <f>OFFSET(DU42,0,-2)+1</f>
        <v>5</v>
      </c>
      <c r="DV42" s="1245">
        <f>OFFSET(DV42,0,-1)</f>
        <v>5</v>
      </c>
      <c r="DW42" s="1335">
        <f>OFFSET(DW42,0,-1)+1</f>
        <v>6</v>
      </c>
      <c r="DX42" s="511"/>
      <c r="DY42" s="511"/>
      <c r="DZ42" s="511"/>
      <c r="EA42" s="511"/>
      <c r="EB42" s="511"/>
      <c r="EC42" s="496">
        <v>0</v>
      </c>
    </row>
    <row customHeight="1" ht="22.049999999999997">
      <c r="A43" s="1363" t="s">
        <v>168</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1</v>
      </c>
      <c r="T43" s="298" t="s">
        <v>127</v>
      </c>
      <c r="U43" s="300"/>
      <c r="V43" s="2242"/>
      <c r="W43" s="2243"/>
      <c r="X43" s="2243"/>
      <c r="Y43" s="2243"/>
      <c r="Z43" s="2243"/>
      <c r="AA43" s="2243"/>
      <c r="AB43" s="2243"/>
      <c r="AC43" s="2244"/>
      <c r="AD43" s="2242" t="str">
        <f>INDEX(PT_DIFFERENTIATION_NTAR,MATCH(A43,PT_DIFFERENTIATION_NTAR_ID,0))</f>
        <v>одноставочный, руб/Гкал</v>
      </c>
      <c r="AE43" s="2243"/>
      <c r="AF43" s="2243"/>
      <c r="AG43" s="2243"/>
      <c r="AH43" s="2243"/>
      <c r="AI43" s="2243"/>
      <c r="AJ43" s="2243"/>
      <c r="AK43" s="2243"/>
      <c r="AL43" s="2242"/>
      <c r="AM43" s="2243"/>
      <c r="AN43" s="2243"/>
      <c r="AO43" s="2243"/>
      <c r="AP43" s="2243"/>
      <c r="AQ43" s="2243"/>
      <c r="AR43" s="2243"/>
      <c r="AS43" s="2244"/>
      <c r="AT43" s="2242"/>
      <c r="AU43" s="2243"/>
      <c r="AV43" s="2243"/>
      <c r="AW43" s="2243"/>
      <c r="AX43" s="2243"/>
      <c r="AY43" s="2243"/>
      <c r="AZ43" s="2243"/>
      <c r="BA43" s="2244"/>
      <c r="BB43" s="2242"/>
      <c r="BC43" s="2243"/>
      <c r="BD43" s="2243"/>
      <c r="BE43" s="2243"/>
      <c r="BF43" s="2243"/>
      <c r="BG43" s="2243"/>
      <c r="BH43" s="2243"/>
      <c r="BI43" s="2244"/>
      <c r="BJ43" s="2242"/>
      <c r="BK43" s="2243"/>
      <c r="BL43" s="2243"/>
      <c r="BM43" s="2243"/>
      <c r="BN43" s="2243"/>
      <c r="BO43" s="2243"/>
      <c r="BP43" s="2243"/>
      <c r="BQ43" s="2244"/>
      <c r="BR43" s="2242"/>
      <c r="BS43" s="2243"/>
      <c r="BT43" s="2243"/>
      <c r="BU43" s="2243"/>
      <c r="BV43" s="2243"/>
      <c r="BW43" s="2243"/>
      <c r="BX43" s="2243"/>
      <c r="BY43" s="2244"/>
      <c r="BZ43" s="2242"/>
      <c r="CA43" s="2243"/>
      <c r="CB43" s="2243"/>
      <c r="CC43" s="2243"/>
      <c r="CD43" s="2243"/>
      <c r="CE43" s="2243"/>
      <c r="CF43" s="2243"/>
      <c r="CG43" s="2244"/>
      <c r="CH43" s="2242"/>
      <c r="CI43" s="2243"/>
      <c r="CJ43" s="2243"/>
      <c r="CK43" s="2243"/>
      <c r="CL43" s="2243"/>
      <c r="CM43" s="2243"/>
      <c r="CN43" s="2243"/>
      <c r="CO43" s="2244"/>
      <c r="CP43" s="2242"/>
      <c r="CQ43" s="2243"/>
      <c r="CR43" s="2243"/>
      <c r="CS43" s="2243"/>
      <c r="CT43" s="2243"/>
      <c r="CU43" s="2243"/>
      <c r="CV43" s="2243"/>
      <c r="CW43" s="2244"/>
      <c r="CX43" s="2242"/>
      <c r="CY43" s="2243"/>
      <c r="CZ43" s="2243"/>
      <c r="DA43" s="2243"/>
      <c r="DB43" s="2243"/>
      <c r="DC43" s="2243"/>
      <c r="DD43" s="2243"/>
      <c r="DE43" s="2244"/>
      <c r="DF43" s="2242"/>
      <c r="DG43" s="2243"/>
      <c r="DH43" s="2243"/>
      <c r="DI43" s="2243"/>
      <c r="DJ43" s="2243"/>
      <c r="DK43" s="2243"/>
      <c r="DL43" s="2243"/>
      <c r="DM43" s="2244"/>
      <c r="DN43" s="2242"/>
      <c r="DO43" s="2243"/>
      <c r="DP43" s="2243"/>
      <c r="DQ43" s="2243"/>
      <c r="DR43" s="2243"/>
      <c r="DS43" s="2243"/>
      <c r="DT43" s="2243"/>
      <c r="DU43" s="2244"/>
      <c r="DV43" s="2244"/>
      <c r="DW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DY43" s="500"/>
      <c r="DZ43" s="500" t="str">
        <f>IF(T43="","",T43)</f>
        <v>Наименование тарифа</v>
      </c>
      <c r="EA43" s="500"/>
      <c r="EB43" s="500"/>
      <c r="EC43" s="1155">
        <v>21</v>
      </c>
    </row>
    <row customHeight="1" ht="22.049999999999997">
      <c r="A44" s="1363" t="s">
        <v>168</v>
      </c>
      <c r="B44" s="1363" t="s">
        <v>169</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1.1</v>
      </c>
      <c r="T44" s="308" t="s">
        <v>405</v>
      </c>
      <c r="U44" s="300"/>
      <c r="V44" s="2242"/>
      <c r="W44" s="2243"/>
      <c r="X44" s="2243"/>
      <c r="Y44" s="2243"/>
      <c r="Z44" s="2243"/>
      <c r="AA44" s="2243"/>
      <c r="AB44" s="2243"/>
      <c r="AC44" s="2244"/>
      <c r="AD44" s="2242" t="str">
        <f>INDEX(PT_DIFFERENTIATION_TER,MATCH(B44,PT_DIFFERENTIATION_TER_ID,0))</f>
        <v>Территория 1</v>
      </c>
      <c r="AE44" s="2243"/>
      <c r="AF44" s="2243"/>
      <c r="AG44" s="2243"/>
      <c r="AH44" s="2243"/>
      <c r="AI44" s="2243"/>
      <c r="AJ44" s="2243"/>
      <c r="AK44" s="2243"/>
      <c r="AL44" s="2242"/>
      <c r="AM44" s="2243"/>
      <c r="AN44" s="2243"/>
      <c r="AO44" s="2243"/>
      <c r="AP44" s="2243"/>
      <c r="AQ44" s="2243"/>
      <c r="AR44" s="2243"/>
      <c r="AS44" s="2244"/>
      <c r="AT44" s="2242"/>
      <c r="AU44" s="2243"/>
      <c r="AV44" s="2243"/>
      <c r="AW44" s="2243"/>
      <c r="AX44" s="2243"/>
      <c r="AY44" s="2243"/>
      <c r="AZ44" s="2243"/>
      <c r="BA44" s="2244"/>
      <c r="BB44" s="2242"/>
      <c r="BC44" s="2243"/>
      <c r="BD44" s="2243"/>
      <c r="BE44" s="2243"/>
      <c r="BF44" s="2243"/>
      <c r="BG44" s="2243"/>
      <c r="BH44" s="2243"/>
      <c r="BI44" s="2244"/>
      <c r="BJ44" s="2242"/>
      <c r="BK44" s="2243"/>
      <c r="BL44" s="2243"/>
      <c r="BM44" s="2243"/>
      <c r="BN44" s="2243"/>
      <c r="BO44" s="2243"/>
      <c r="BP44" s="2243"/>
      <c r="BQ44" s="2244"/>
      <c r="BR44" s="2242"/>
      <c r="BS44" s="2243"/>
      <c r="BT44" s="2243"/>
      <c r="BU44" s="2243"/>
      <c r="BV44" s="2243"/>
      <c r="BW44" s="2243"/>
      <c r="BX44" s="2243"/>
      <c r="BY44" s="2244"/>
      <c r="BZ44" s="2242"/>
      <c r="CA44" s="2243"/>
      <c r="CB44" s="2243"/>
      <c r="CC44" s="2243"/>
      <c r="CD44" s="2243"/>
      <c r="CE44" s="2243"/>
      <c r="CF44" s="2243"/>
      <c r="CG44" s="2244"/>
      <c r="CH44" s="2242"/>
      <c r="CI44" s="2243"/>
      <c r="CJ44" s="2243"/>
      <c r="CK44" s="2243"/>
      <c r="CL44" s="2243"/>
      <c r="CM44" s="2243"/>
      <c r="CN44" s="2243"/>
      <c r="CO44" s="2244"/>
      <c r="CP44" s="2242"/>
      <c r="CQ44" s="2243"/>
      <c r="CR44" s="2243"/>
      <c r="CS44" s="2243"/>
      <c r="CT44" s="2243"/>
      <c r="CU44" s="2243"/>
      <c r="CV44" s="2243"/>
      <c r="CW44" s="2244"/>
      <c r="CX44" s="2242"/>
      <c r="CY44" s="2243"/>
      <c r="CZ44" s="2243"/>
      <c r="DA44" s="2243"/>
      <c r="DB44" s="2243"/>
      <c r="DC44" s="2243"/>
      <c r="DD44" s="2243"/>
      <c r="DE44" s="2244"/>
      <c r="DF44" s="2242"/>
      <c r="DG44" s="2243"/>
      <c r="DH44" s="2243"/>
      <c r="DI44" s="2243"/>
      <c r="DJ44" s="2243"/>
      <c r="DK44" s="2243"/>
      <c r="DL44" s="2243"/>
      <c r="DM44" s="2244"/>
      <c r="DN44" s="2242"/>
      <c r="DO44" s="2243"/>
      <c r="DP44" s="2243"/>
      <c r="DQ44" s="2243"/>
      <c r="DR44" s="2243"/>
      <c r="DS44" s="2243"/>
      <c r="DT44" s="2243"/>
      <c r="DU44" s="2244"/>
      <c r="DV44" s="2244"/>
      <c r="DW44" s="1258" t="s">
        <v>406</v>
      </c>
      <c r="DY44" s="500"/>
      <c r="DZ44" s="500" t="str">
        <f>IF(T44="","",T44)</f>
        <v>Территория действия тарифа</v>
      </c>
      <c r="EA44" s="500"/>
      <c r="EB44" s="500"/>
      <c r="EC44" s="1155">
        <v>21</v>
      </c>
    </row>
    <row customHeight="1" ht="24">
      <c r="A45" s="1363" t="s">
        <v>168</v>
      </c>
      <c r="B45" s="1363" t="s">
        <v>169</v>
      </c>
      <c r="C45" s="1363" t="s">
        <v>170</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1.1.1</v>
      </c>
      <c r="T45" s="309" t="s">
        <v>407</v>
      </c>
      <c r="U45" s="300"/>
      <c r="V45" s="2242"/>
      <c r="W45" s="2243"/>
      <c r="X45" s="2243"/>
      <c r="Y45" s="2243"/>
      <c r="Z45" s="2243"/>
      <c r="AA45" s="2243"/>
      <c r="AB45" s="2243"/>
      <c r="AC45" s="2244"/>
      <c r="AD45" s="2242" t="str">
        <f>INDEX(PT_DIFFERENTIATION_CS,MATCH(C45,PT_DIFFERENTIATION_CS_ID,0))</f>
        <v>без дифференциации</v>
      </c>
      <c r="AE45" s="2243"/>
      <c r="AF45" s="2243"/>
      <c r="AG45" s="2243"/>
      <c r="AH45" s="2243"/>
      <c r="AI45" s="2243"/>
      <c r="AJ45" s="2243"/>
      <c r="AK45" s="2243"/>
      <c r="AL45" s="2242"/>
      <c r="AM45" s="2243"/>
      <c r="AN45" s="2243"/>
      <c r="AO45" s="2243"/>
      <c r="AP45" s="2243"/>
      <c r="AQ45" s="2243"/>
      <c r="AR45" s="2243"/>
      <c r="AS45" s="2244"/>
      <c r="AT45" s="2242"/>
      <c r="AU45" s="2243"/>
      <c r="AV45" s="2243"/>
      <c r="AW45" s="2243"/>
      <c r="AX45" s="2243"/>
      <c r="AY45" s="2243"/>
      <c r="AZ45" s="2243"/>
      <c r="BA45" s="2244"/>
      <c r="BB45" s="2242"/>
      <c r="BC45" s="2243"/>
      <c r="BD45" s="2243"/>
      <c r="BE45" s="2243"/>
      <c r="BF45" s="2243"/>
      <c r="BG45" s="2243"/>
      <c r="BH45" s="2243"/>
      <c r="BI45" s="2244"/>
      <c r="BJ45" s="2242"/>
      <c r="BK45" s="2243"/>
      <c r="BL45" s="2243"/>
      <c r="BM45" s="2243"/>
      <c r="BN45" s="2243"/>
      <c r="BO45" s="2243"/>
      <c r="BP45" s="2243"/>
      <c r="BQ45" s="2244"/>
      <c r="BR45" s="2242"/>
      <c r="BS45" s="2243"/>
      <c r="BT45" s="2243"/>
      <c r="BU45" s="2243"/>
      <c r="BV45" s="2243"/>
      <c r="BW45" s="2243"/>
      <c r="BX45" s="2243"/>
      <c r="BY45" s="2244"/>
      <c r="BZ45" s="2242"/>
      <c r="CA45" s="2243"/>
      <c r="CB45" s="2243"/>
      <c r="CC45" s="2243"/>
      <c r="CD45" s="2243"/>
      <c r="CE45" s="2243"/>
      <c r="CF45" s="2243"/>
      <c r="CG45" s="2244"/>
      <c r="CH45" s="2242"/>
      <c r="CI45" s="2243"/>
      <c r="CJ45" s="2243"/>
      <c r="CK45" s="2243"/>
      <c r="CL45" s="2243"/>
      <c r="CM45" s="2243"/>
      <c r="CN45" s="2243"/>
      <c r="CO45" s="2244"/>
      <c r="CP45" s="2242"/>
      <c r="CQ45" s="2243"/>
      <c r="CR45" s="2243"/>
      <c r="CS45" s="2243"/>
      <c r="CT45" s="2243"/>
      <c r="CU45" s="2243"/>
      <c r="CV45" s="2243"/>
      <c r="CW45" s="2244"/>
      <c r="CX45" s="2242"/>
      <c r="CY45" s="2243"/>
      <c r="CZ45" s="2243"/>
      <c r="DA45" s="2243"/>
      <c r="DB45" s="2243"/>
      <c r="DC45" s="2243"/>
      <c r="DD45" s="2243"/>
      <c r="DE45" s="2244"/>
      <c r="DF45" s="2242"/>
      <c r="DG45" s="2243"/>
      <c r="DH45" s="2243"/>
      <c r="DI45" s="2243"/>
      <c r="DJ45" s="2243"/>
      <c r="DK45" s="2243"/>
      <c r="DL45" s="2243"/>
      <c r="DM45" s="2244"/>
      <c r="DN45" s="2242"/>
      <c r="DO45" s="2243"/>
      <c r="DP45" s="2243"/>
      <c r="DQ45" s="2243"/>
      <c r="DR45" s="2243"/>
      <c r="DS45" s="2243"/>
      <c r="DT45" s="2243"/>
      <c r="DU45" s="2244"/>
      <c r="DV45" s="2244"/>
      <c r="DW45" s="1258" t="s">
        <v>408</v>
      </c>
      <c r="DY45" s="500"/>
      <c r="DZ45" s="500" t="str">
        <f>IF(T45="","",T45)</f>
        <v>Наименование системы теплоснабжения </v>
      </c>
      <c r="EA45" s="500"/>
      <c r="EB45" s="500"/>
      <c r="EC45" s="1155">
        <v>23</v>
      </c>
    </row>
    <row customHeight="1" ht="22.049999999999997">
      <c r="A46" s="1363" t="s">
        <v>168</v>
      </c>
      <c r="B46" s="1363" t="s">
        <v>169</v>
      </c>
      <c r="C46" s="1363" t="s">
        <v>170</v>
      </c>
      <c r="D46" s="1363" t="s">
        <v>171</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1.1.1.1</v>
      </c>
      <c r="T46" s="310" t="s">
        <v>409</v>
      </c>
      <c r="U46" s="300"/>
      <c r="V46" s="2242"/>
      <c r="W46" s="2243"/>
      <c r="X46" s="2243"/>
      <c r="Y46" s="2243"/>
      <c r="Z46" s="2243"/>
      <c r="AA46" s="2243"/>
      <c r="AB46" s="2243"/>
      <c r="AC46" s="2244"/>
      <c r="AD46" s="2242" t="str">
        <f>INDEX(PT_DIFFERENTIATION_IST_TE,MATCH(D46,PT_DIFFERENTIATION_IST_TE_ID,0))</f>
        <v>без дифференциации</v>
      </c>
      <c r="AE46" s="2243"/>
      <c r="AF46" s="2243"/>
      <c r="AG46" s="2243"/>
      <c r="AH46" s="2243"/>
      <c r="AI46" s="2243"/>
      <c r="AJ46" s="2243"/>
      <c r="AK46" s="2243"/>
      <c r="AL46" s="2242"/>
      <c r="AM46" s="2243"/>
      <c r="AN46" s="2243"/>
      <c r="AO46" s="2243"/>
      <c r="AP46" s="2243"/>
      <c r="AQ46" s="2243"/>
      <c r="AR46" s="2243"/>
      <c r="AS46" s="2244"/>
      <c r="AT46" s="2242"/>
      <c r="AU46" s="2243"/>
      <c r="AV46" s="2243"/>
      <c r="AW46" s="2243"/>
      <c r="AX46" s="2243"/>
      <c r="AY46" s="2243"/>
      <c r="AZ46" s="2243"/>
      <c r="BA46" s="2244"/>
      <c r="BB46" s="2242"/>
      <c r="BC46" s="2243"/>
      <c r="BD46" s="2243"/>
      <c r="BE46" s="2243"/>
      <c r="BF46" s="2243"/>
      <c r="BG46" s="2243"/>
      <c r="BH46" s="2243"/>
      <c r="BI46" s="2244"/>
      <c r="BJ46" s="2242"/>
      <c r="BK46" s="2243"/>
      <c r="BL46" s="2243"/>
      <c r="BM46" s="2243"/>
      <c r="BN46" s="2243"/>
      <c r="BO46" s="2243"/>
      <c r="BP46" s="2243"/>
      <c r="BQ46" s="2244"/>
      <c r="BR46" s="2242"/>
      <c r="BS46" s="2243"/>
      <c r="BT46" s="2243"/>
      <c r="BU46" s="2243"/>
      <c r="BV46" s="2243"/>
      <c r="BW46" s="2243"/>
      <c r="BX46" s="2243"/>
      <c r="BY46" s="2244"/>
      <c r="BZ46" s="2242"/>
      <c r="CA46" s="2243"/>
      <c r="CB46" s="2243"/>
      <c r="CC46" s="2243"/>
      <c r="CD46" s="2243"/>
      <c r="CE46" s="2243"/>
      <c r="CF46" s="2243"/>
      <c r="CG46" s="2244"/>
      <c r="CH46" s="2242"/>
      <c r="CI46" s="2243"/>
      <c r="CJ46" s="2243"/>
      <c r="CK46" s="2243"/>
      <c r="CL46" s="2243"/>
      <c r="CM46" s="2243"/>
      <c r="CN46" s="2243"/>
      <c r="CO46" s="2244"/>
      <c r="CP46" s="2242"/>
      <c r="CQ46" s="2243"/>
      <c r="CR46" s="2243"/>
      <c r="CS46" s="2243"/>
      <c r="CT46" s="2243"/>
      <c r="CU46" s="2243"/>
      <c r="CV46" s="2243"/>
      <c r="CW46" s="2244"/>
      <c r="CX46" s="2242"/>
      <c r="CY46" s="2243"/>
      <c r="CZ46" s="2243"/>
      <c r="DA46" s="2243"/>
      <c r="DB46" s="2243"/>
      <c r="DC46" s="2243"/>
      <c r="DD46" s="2243"/>
      <c r="DE46" s="2244"/>
      <c r="DF46" s="2242"/>
      <c r="DG46" s="2243"/>
      <c r="DH46" s="2243"/>
      <c r="DI46" s="2243"/>
      <c r="DJ46" s="2243"/>
      <c r="DK46" s="2243"/>
      <c r="DL46" s="2243"/>
      <c r="DM46" s="2244"/>
      <c r="DN46" s="2242"/>
      <c r="DO46" s="2243"/>
      <c r="DP46" s="2243"/>
      <c r="DQ46" s="2243"/>
      <c r="DR46" s="2243"/>
      <c r="DS46" s="2243"/>
      <c r="DT46" s="2243"/>
      <c r="DU46" s="2244"/>
      <c r="DV46" s="2244"/>
      <c r="DW46" s="1258" t="s">
        <v>410</v>
      </c>
      <c r="DY46" s="500"/>
      <c r="DZ46" s="500" t="str">
        <f>IF(T46="","",T46)</f>
        <v>Источник тепловой энергии  </v>
      </c>
      <c r="EA46" s="500"/>
      <c r="EB46" s="500"/>
      <c r="EC46" s="1155">
        <v>21</v>
      </c>
    </row>
    <row customHeight="1" ht="49.5">
      <c r="A47" s="1363" t="s">
        <v>168</v>
      </c>
      <c r="B47" s="1363" t="s">
        <v>169</v>
      </c>
      <c r="C47" s="1363" t="s">
        <v>170</v>
      </c>
      <c r="D47" s="1363" t="s">
        <v>171</v>
      </c>
      <c r="E47" s="2259"/>
      <c r="F47" s="2259"/>
      <c r="G47" s="2259"/>
      <c r="H47" s="2259"/>
      <c r="I47" s="2256" t="str">
        <f>S46&amp;".1"</f>
        <v>1.1.1.1.1</v>
      </c>
      <c r="J47" s="1363"/>
      <c r="K47" s="1363"/>
      <c r="L47" s="1364" t="s">
        <v>411</v>
      </c>
      <c r="P47" s="2257">
        <v>1</v>
      </c>
      <c r="Q47" s="1331"/>
      <c r="R47" s="356"/>
      <c r="S47" s="1336" t="str">
        <f>$I47</f>
        <v>1.1.1.1.1</v>
      </c>
      <c r="T47" s="285" t="s">
        <v>412</v>
      </c>
      <c r="U47" s="300"/>
      <c r="V47" s="2245"/>
      <c r="W47" s="2246"/>
      <c r="X47" s="2246"/>
      <c r="Y47" s="2246"/>
      <c r="Z47" s="2246"/>
      <c r="AA47" s="2246"/>
      <c r="AB47" s="2246"/>
      <c r="AC47" s="2247"/>
      <c r="AD47" s="2245" t="s">
        <v>455</v>
      </c>
      <c r="AE47" s="2246"/>
      <c r="AF47" s="2246"/>
      <c r="AG47" s="2246"/>
      <c r="AH47" s="2246"/>
      <c r="AI47" s="2246"/>
      <c r="AJ47" s="2246"/>
      <c r="AK47" s="2246"/>
      <c r="AL47" s="2245"/>
      <c r="AM47" s="2246"/>
      <c r="AN47" s="2246"/>
      <c r="AO47" s="2246"/>
      <c r="AP47" s="2246"/>
      <c r="AQ47" s="2246"/>
      <c r="AR47" s="2246"/>
      <c r="AS47" s="2247"/>
      <c r="AT47" s="2245"/>
      <c r="AU47" s="2246"/>
      <c r="AV47" s="2246"/>
      <c r="AW47" s="2246"/>
      <c r="AX47" s="2246"/>
      <c r="AY47" s="2246"/>
      <c r="AZ47" s="2246"/>
      <c r="BA47" s="2247"/>
      <c r="BB47" s="2245"/>
      <c r="BC47" s="2246"/>
      <c r="BD47" s="2246"/>
      <c r="BE47" s="2246"/>
      <c r="BF47" s="2246"/>
      <c r="BG47" s="2246"/>
      <c r="BH47" s="2246"/>
      <c r="BI47" s="2247"/>
      <c r="BJ47" s="2245"/>
      <c r="BK47" s="2246"/>
      <c r="BL47" s="2246"/>
      <c r="BM47" s="2246"/>
      <c r="BN47" s="2246"/>
      <c r="BO47" s="2246"/>
      <c r="BP47" s="2246"/>
      <c r="BQ47" s="2247"/>
      <c r="BR47" s="2245"/>
      <c r="BS47" s="2246"/>
      <c r="BT47" s="2246"/>
      <c r="BU47" s="2246"/>
      <c r="BV47" s="2246"/>
      <c r="BW47" s="2246"/>
      <c r="BX47" s="2246"/>
      <c r="BY47" s="2247"/>
      <c r="BZ47" s="2245"/>
      <c r="CA47" s="2246"/>
      <c r="CB47" s="2246"/>
      <c r="CC47" s="2246"/>
      <c r="CD47" s="2246"/>
      <c r="CE47" s="2246"/>
      <c r="CF47" s="2246"/>
      <c r="CG47" s="2247"/>
      <c r="CH47" s="2245"/>
      <c r="CI47" s="2246"/>
      <c r="CJ47" s="2246"/>
      <c r="CK47" s="2246"/>
      <c r="CL47" s="2246"/>
      <c r="CM47" s="2246"/>
      <c r="CN47" s="2246"/>
      <c r="CO47" s="2247"/>
      <c r="CP47" s="2245"/>
      <c r="CQ47" s="2246"/>
      <c r="CR47" s="2246"/>
      <c r="CS47" s="2246"/>
      <c r="CT47" s="2246"/>
      <c r="CU47" s="2246"/>
      <c r="CV47" s="2246"/>
      <c r="CW47" s="2247"/>
      <c r="CX47" s="2245"/>
      <c r="CY47" s="2246"/>
      <c r="CZ47" s="2246"/>
      <c r="DA47" s="2246"/>
      <c r="DB47" s="2246"/>
      <c r="DC47" s="2246"/>
      <c r="DD47" s="2246"/>
      <c r="DE47" s="2247"/>
      <c r="DF47" s="2245"/>
      <c r="DG47" s="2246"/>
      <c r="DH47" s="2246"/>
      <c r="DI47" s="2246"/>
      <c r="DJ47" s="2246"/>
      <c r="DK47" s="2246"/>
      <c r="DL47" s="2246"/>
      <c r="DM47" s="2247"/>
      <c r="DN47" s="2245"/>
      <c r="DO47" s="2246"/>
      <c r="DP47" s="2246"/>
      <c r="DQ47" s="2246"/>
      <c r="DR47" s="2246"/>
      <c r="DS47" s="2246"/>
      <c r="DT47" s="2246"/>
      <c r="DU47" s="2247"/>
      <c r="DV47" s="2247"/>
      <c r="DW47" s="1258" t="s">
        <v>413</v>
      </c>
      <c r="DY47" s="500"/>
      <c r="DZ47" s="500" t="str">
        <f>IF(T47="","",T47)</f>
        <v>Схема подключения теплопотребляющей установки к коллектору источника тепловой энергии</v>
      </c>
      <c r="EA47" s="500"/>
      <c r="EB47" s="500"/>
      <c r="EC47" s="1155">
        <v>47</v>
      </c>
    </row>
    <row customHeight="1" ht="22.049999999999997">
      <c r="A48" s="1363" t="s">
        <v>168</v>
      </c>
      <c r="B48" s="1363" t="s">
        <v>169</v>
      </c>
      <c r="C48" s="1363" t="s">
        <v>170</v>
      </c>
      <c r="D48" s="1363" t="s">
        <v>171</v>
      </c>
      <c r="E48" s="2259"/>
      <c r="F48" s="2259"/>
      <c r="G48" s="2259"/>
      <c r="H48" s="2259"/>
      <c r="I48" s="2286"/>
      <c r="J48" s="2256" t="str">
        <f>I47&amp;".1"</f>
        <v>1.1.1.1.1.1</v>
      </c>
      <c r="K48" s="1363"/>
      <c r="L48" s="1364" t="s">
        <v>414</v>
      </c>
      <c r="P48" s="2257"/>
      <c r="Q48" s="2257">
        <v>1</v>
      </c>
      <c r="R48" s="357"/>
      <c r="S48" s="1336" t="str">
        <f>$J48</f>
        <v>1.1.1.1.1.1</v>
      </c>
      <c r="T48" s="286" t="s">
        <v>415</v>
      </c>
      <c r="U48" s="300"/>
      <c r="V48" s="2245"/>
      <c r="W48" s="2246"/>
      <c r="X48" s="2246"/>
      <c r="Y48" s="2246"/>
      <c r="Z48" s="2246"/>
      <c r="AA48" s="2246"/>
      <c r="AB48" s="2246"/>
      <c r="AC48" s="2247"/>
      <c r="AD48" s="2245" t="s">
        <v>456</v>
      </c>
      <c r="AE48" s="2246"/>
      <c r="AF48" s="2246"/>
      <c r="AG48" s="2246"/>
      <c r="AH48" s="2246"/>
      <c r="AI48" s="2246"/>
      <c r="AJ48" s="2246"/>
      <c r="AK48" s="2246"/>
      <c r="AL48" s="2245"/>
      <c r="AM48" s="2246"/>
      <c r="AN48" s="2246"/>
      <c r="AO48" s="2246"/>
      <c r="AP48" s="2246"/>
      <c r="AQ48" s="2246"/>
      <c r="AR48" s="2246"/>
      <c r="AS48" s="2247"/>
      <c r="AT48" s="2245"/>
      <c r="AU48" s="2246"/>
      <c r="AV48" s="2246"/>
      <c r="AW48" s="2246"/>
      <c r="AX48" s="2246"/>
      <c r="AY48" s="2246"/>
      <c r="AZ48" s="2246"/>
      <c r="BA48" s="2247"/>
      <c r="BB48" s="2245"/>
      <c r="BC48" s="2246"/>
      <c r="BD48" s="2246"/>
      <c r="BE48" s="2246"/>
      <c r="BF48" s="2246"/>
      <c r="BG48" s="2246"/>
      <c r="BH48" s="2246"/>
      <c r="BI48" s="2247"/>
      <c r="BJ48" s="2245"/>
      <c r="BK48" s="2246"/>
      <c r="BL48" s="2246"/>
      <c r="BM48" s="2246"/>
      <c r="BN48" s="2246"/>
      <c r="BO48" s="2246"/>
      <c r="BP48" s="2246"/>
      <c r="BQ48" s="2247"/>
      <c r="BR48" s="2245"/>
      <c r="BS48" s="2246"/>
      <c r="BT48" s="2246"/>
      <c r="BU48" s="2246"/>
      <c r="BV48" s="2246"/>
      <c r="BW48" s="2246"/>
      <c r="BX48" s="2246"/>
      <c r="BY48" s="2247"/>
      <c r="BZ48" s="2245"/>
      <c r="CA48" s="2246"/>
      <c r="CB48" s="2246"/>
      <c r="CC48" s="2246"/>
      <c r="CD48" s="2246"/>
      <c r="CE48" s="2246"/>
      <c r="CF48" s="2246"/>
      <c r="CG48" s="2247"/>
      <c r="CH48" s="2245"/>
      <c r="CI48" s="2246"/>
      <c r="CJ48" s="2246"/>
      <c r="CK48" s="2246"/>
      <c r="CL48" s="2246"/>
      <c r="CM48" s="2246"/>
      <c r="CN48" s="2246"/>
      <c r="CO48" s="2247"/>
      <c r="CP48" s="2245"/>
      <c r="CQ48" s="2246"/>
      <c r="CR48" s="2246"/>
      <c r="CS48" s="2246"/>
      <c r="CT48" s="2246"/>
      <c r="CU48" s="2246"/>
      <c r="CV48" s="2246"/>
      <c r="CW48" s="2247"/>
      <c r="CX48" s="2245"/>
      <c r="CY48" s="2246"/>
      <c r="CZ48" s="2246"/>
      <c r="DA48" s="2246"/>
      <c r="DB48" s="2246"/>
      <c r="DC48" s="2246"/>
      <c r="DD48" s="2246"/>
      <c r="DE48" s="2247"/>
      <c r="DF48" s="2245"/>
      <c r="DG48" s="2246"/>
      <c r="DH48" s="2246"/>
      <c r="DI48" s="2246"/>
      <c r="DJ48" s="2246"/>
      <c r="DK48" s="2246"/>
      <c r="DL48" s="2246"/>
      <c r="DM48" s="2247"/>
      <c r="DN48" s="2245"/>
      <c r="DO48" s="2246"/>
      <c r="DP48" s="2246"/>
      <c r="DQ48" s="2246"/>
      <c r="DR48" s="2246"/>
      <c r="DS48" s="2246"/>
      <c r="DT48" s="2246"/>
      <c r="DU48" s="2247"/>
      <c r="DV48" s="2247"/>
      <c r="DW48" s="1258" t="s">
        <v>416</v>
      </c>
      <c r="DY48" s="500"/>
      <c r="DZ48" s="500" t="str">
        <f>IF(T48="","",T48)</f>
        <v>Группа потребителей</v>
      </c>
      <c r="EA48" s="500"/>
      <c r="EB48" s="500"/>
      <c r="EC48" s="1155">
        <v>21</v>
      </c>
    </row>
    <row customHeight="1" ht="22.049999999999997">
      <c r="A49" s="1363" t="s">
        <v>168</v>
      </c>
      <c r="B49" s="1363" t="s">
        <v>169</v>
      </c>
      <c r="C49" s="1363" t="s">
        <v>170</v>
      </c>
      <c r="D49" s="1363" t="s">
        <v>171</v>
      </c>
      <c r="E49" s="2259"/>
      <c r="F49" s="2259"/>
      <c r="G49" s="2259"/>
      <c r="H49" s="2259"/>
      <c r="I49" s="2286"/>
      <c r="J49" s="2286"/>
      <c r="K49" s="2256" t="str">
        <f>J48&amp;".1"</f>
        <v>1.1.1.1.1.1.1</v>
      </c>
      <c r="L49" s="1364" t="s">
        <v>417</v>
      </c>
      <c r="P49" s="2257"/>
      <c r="Q49" s="2257"/>
      <c r="R49" s="357">
        <v>1</v>
      </c>
      <c r="S49" s="1336" t="str">
        <f>$K49</f>
        <v>1.1.1.1.1.1.1</v>
      </c>
      <c r="T49" s="1347" t="s">
        <v>457</v>
      </c>
      <c r="U49" s="300"/>
      <c r="V49" s="1360"/>
      <c r="W49" s="1360"/>
      <c r="X49" s="1360"/>
      <c r="Y49" s="1361"/>
      <c r="Z49" s="2267"/>
      <c r="AA49" s="2268" t="s">
        <v>70</v>
      </c>
      <c r="AB49" s="2267"/>
      <c r="AC49" s="2268" t="s">
        <v>70</v>
      </c>
      <c r="AD49" s="751">
        <v>2093.84</v>
      </c>
      <c r="AE49" s="325"/>
      <c r="AF49" s="751"/>
      <c r="AG49" s="1257"/>
      <c r="AH49" s="2602">
        <v>45292</v>
      </c>
      <c r="AI49" s="2107" t="s">
        <v>70</v>
      </c>
      <c r="AJ49" s="2287">
        <v>45473</v>
      </c>
      <c r="AK49" s="2107" t="s">
        <v>70</v>
      </c>
      <c r="AL49" s="751">
        <v>2218.46</v>
      </c>
      <c r="AM49" s="325"/>
      <c r="AN49" s="751"/>
      <c r="AO49" s="1257"/>
      <c r="AP49" s="2602">
        <v>45474</v>
      </c>
      <c r="AQ49" s="2107" t="s">
        <v>70</v>
      </c>
      <c r="AR49" s="2602">
        <v>45657</v>
      </c>
      <c r="AS49" s="2107" t="s">
        <v>70</v>
      </c>
      <c r="AT49" s="751">
        <v>2218.46</v>
      </c>
      <c r="AU49" s="325"/>
      <c r="AV49" s="751"/>
      <c r="AW49" s="1257"/>
      <c r="AX49" s="2602">
        <v>45658</v>
      </c>
      <c r="AY49" s="2107" t="s">
        <v>70</v>
      </c>
      <c r="AZ49" s="2602">
        <v>45838</v>
      </c>
      <c r="BA49" s="2107" t="s">
        <v>70</v>
      </c>
      <c r="BB49" s="751">
        <v>2514.35</v>
      </c>
      <c r="BC49" s="325"/>
      <c r="BD49" s="751"/>
      <c r="BE49" s="1257"/>
      <c r="BF49" s="2602">
        <v>45839</v>
      </c>
      <c r="BG49" s="2107" t="s">
        <v>70</v>
      </c>
      <c r="BH49" s="2602">
        <v>46022</v>
      </c>
      <c r="BI49" s="2107" t="s">
        <v>70</v>
      </c>
      <c r="BJ49" s="751">
        <v>2514.35</v>
      </c>
      <c r="BK49" s="325"/>
      <c r="BL49" s="751"/>
      <c r="BM49" s="1257"/>
      <c r="BN49" s="2602">
        <v>46023</v>
      </c>
      <c r="BO49" s="2107" t="s">
        <v>70</v>
      </c>
      <c r="BP49" s="2602">
        <v>46295</v>
      </c>
      <c r="BQ49" s="2107" t="s">
        <v>70</v>
      </c>
      <c r="BR49" s="751">
        <v>2950.68</v>
      </c>
      <c r="BS49" s="325"/>
      <c r="BT49" s="751"/>
      <c r="BU49" s="1257"/>
      <c r="BV49" s="2602">
        <v>46296</v>
      </c>
      <c r="BW49" s="2107" t="s">
        <v>70</v>
      </c>
      <c r="BX49" s="2602">
        <v>46387</v>
      </c>
      <c r="BY49" s="2107" t="s">
        <v>70</v>
      </c>
      <c r="BZ49" s="751">
        <v>2462.14</v>
      </c>
      <c r="CA49" s="325"/>
      <c r="CB49" s="751"/>
      <c r="CC49" s="1257"/>
      <c r="CD49" s="2602">
        <v>46388</v>
      </c>
      <c r="CE49" s="2107" t="s">
        <v>70</v>
      </c>
      <c r="CF49" s="2602">
        <v>46568</v>
      </c>
      <c r="CG49" s="2107" t="s">
        <v>70</v>
      </c>
      <c r="CH49" s="751">
        <v>2471.03</v>
      </c>
      <c r="CI49" s="325"/>
      <c r="CJ49" s="751"/>
      <c r="CK49" s="1257"/>
      <c r="CL49" s="2602">
        <v>46569</v>
      </c>
      <c r="CM49" s="2107" t="s">
        <v>70</v>
      </c>
      <c r="CN49" s="2602">
        <v>46752</v>
      </c>
      <c r="CO49" s="2107" t="s">
        <v>70</v>
      </c>
      <c r="CP49" s="751">
        <v>2471.03</v>
      </c>
      <c r="CQ49" s="325"/>
      <c r="CR49" s="751"/>
      <c r="CS49" s="1257"/>
      <c r="CT49" s="2602">
        <v>46753</v>
      </c>
      <c r="CU49" s="2107" t="s">
        <v>70</v>
      </c>
      <c r="CV49" s="2602">
        <v>46934</v>
      </c>
      <c r="CW49" s="2107" t="s">
        <v>70</v>
      </c>
      <c r="CX49" s="751">
        <v>2583.55</v>
      </c>
      <c r="CY49" s="325"/>
      <c r="CZ49" s="751"/>
      <c r="DA49" s="1257"/>
      <c r="DB49" s="2602">
        <v>46935</v>
      </c>
      <c r="DC49" s="2107" t="s">
        <v>70</v>
      </c>
      <c r="DD49" s="2602">
        <v>47118</v>
      </c>
      <c r="DE49" s="2107" t="s">
        <v>19</v>
      </c>
      <c r="DF49" s="1360"/>
      <c r="DG49" s="1360"/>
      <c r="DH49" s="1360"/>
      <c r="DI49" s="1361"/>
      <c r="DJ49" s="2267"/>
      <c r="DK49" s="2268" t="s">
        <v>70</v>
      </c>
      <c r="DL49" s="2267"/>
      <c r="DM49" s="2268" t="s">
        <v>70</v>
      </c>
      <c r="DN49" s="1360"/>
      <c r="DO49" s="1360"/>
      <c r="DP49" s="1360"/>
      <c r="DQ49" s="1361"/>
      <c r="DR49" s="2267"/>
      <c r="DS49" s="2268" t="s">
        <v>70</v>
      </c>
      <c r="DT49" s="2267"/>
      <c r="DU49" s="2268" t="s">
        <v>70</v>
      </c>
      <c r="DV49" s="1348"/>
      <c r="DW49" s="2253" t="s">
        <v>418</v>
      </c>
      <c r="DX49" s="511">
        <f>STRCHECKDATE(V50:DV50)</f>
      </c>
      <c r="DY49" s="500"/>
      <c r="DZ49" s="500" t="str">
        <f>IF(T49="","",T49)</f>
        <v>вода</v>
      </c>
      <c r="EA49" s="500"/>
      <c r="EB49" s="500"/>
      <c r="EC49" s="1155">
        <v>21</v>
      </c>
    </row>
    <row customHeight="1" ht="1.05">
      <c r="A50" s="1363" t="s">
        <v>168</v>
      </c>
      <c r="B50" s="1363" t="s">
        <v>169</v>
      </c>
      <c r="C50" s="1363" t="s">
        <v>170</v>
      </c>
      <c r="D50" s="1363" t="s">
        <v>171</v>
      </c>
      <c r="E50" s="2259"/>
      <c r="F50" s="2259"/>
      <c r="G50" s="2259"/>
      <c r="H50" s="2259"/>
      <c r="I50" s="2286"/>
      <c r="J50" s="2286"/>
      <c r="K50" s="2256"/>
      <c r="L50" s="1364"/>
      <c r="P50" s="2257"/>
      <c r="Q50" s="2257"/>
      <c r="R50" s="357"/>
      <c r="S50" s="1342"/>
      <c r="T50" s="300"/>
      <c r="U50" s="300"/>
      <c r="V50" s="1360"/>
      <c r="W50" s="1360"/>
      <c r="X50" s="1360"/>
      <c r="Y50" s="328" t="str">
        <f>Z49&amp;"-"&amp;AB49</f>
        <v>-</v>
      </c>
      <c r="Z50" s="2268"/>
      <c r="AA50" s="2268"/>
      <c r="AB50" s="2268"/>
      <c r="AC50" s="2268"/>
      <c r="AD50" s="325"/>
      <c r="AE50" s="325"/>
      <c r="AF50" s="325"/>
      <c r="AG50" s="328" t="str">
        <f>AH49&amp;"-"&amp;AJ49</f>
        <v>45292-45473</v>
      </c>
      <c r="AH50" s="2266"/>
      <c r="AI50" s="2107"/>
      <c r="AJ50" s="2288"/>
      <c r="AK50" s="2107"/>
      <c r="AL50" s="325"/>
      <c r="AM50" s="325"/>
      <c r="AN50" s="325"/>
      <c r="AO50" s="328" t="str">
        <f>AP49&amp;"-"&amp;AR49</f>
        <v>45474-45657</v>
      </c>
      <c r="AP50" s="2309"/>
      <c r="AQ50" s="2107"/>
      <c r="AR50" s="2309"/>
      <c r="AS50" s="2107"/>
      <c r="AT50" s="325"/>
      <c r="AU50" s="325"/>
      <c r="AV50" s="325"/>
      <c r="AW50" s="328" t="str">
        <f>AX49&amp;"-"&amp;AZ49</f>
        <v>45658-45838</v>
      </c>
      <c r="AX50" s="2309"/>
      <c r="AY50" s="2107"/>
      <c r="AZ50" s="2309"/>
      <c r="BA50" s="2107"/>
      <c r="BB50" s="325"/>
      <c r="BC50" s="325"/>
      <c r="BD50" s="325"/>
      <c r="BE50" s="328" t="str">
        <f>BF49&amp;"-"&amp;BH49</f>
        <v>45839-46022</v>
      </c>
      <c r="BF50" s="2309"/>
      <c r="BG50" s="2107"/>
      <c r="BH50" s="2309"/>
      <c r="BI50" s="2107"/>
      <c r="BJ50" s="325"/>
      <c r="BK50" s="325"/>
      <c r="BL50" s="325"/>
      <c r="BM50" s="328" t="str">
        <f>BN49&amp;"-"&amp;BP49</f>
        <v>46023-46295</v>
      </c>
      <c r="BN50" s="2309"/>
      <c r="BO50" s="2107"/>
      <c r="BP50" s="2309"/>
      <c r="BQ50" s="2107"/>
      <c r="BR50" s="325"/>
      <c r="BS50" s="325"/>
      <c r="BT50" s="325"/>
      <c r="BU50" s="328" t="str">
        <f>BV49&amp;"-"&amp;BX49</f>
        <v>46296-46387</v>
      </c>
      <c r="BV50" s="2309"/>
      <c r="BW50" s="2107"/>
      <c r="BX50" s="2309"/>
      <c r="BY50" s="2107"/>
      <c r="BZ50" s="325"/>
      <c r="CA50" s="325"/>
      <c r="CB50" s="325"/>
      <c r="CC50" s="328" t="str">
        <f>CD49&amp;"-"&amp;CF49</f>
        <v>46388-46568</v>
      </c>
      <c r="CD50" s="2309"/>
      <c r="CE50" s="2107"/>
      <c r="CF50" s="2309"/>
      <c r="CG50" s="2107"/>
      <c r="CH50" s="325"/>
      <c r="CI50" s="325"/>
      <c r="CJ50" s="325"/>
      <c r="CK50" s="328" t="str">
        <f>CL49&amp;"-"&amp;CN49</f>
        <v>46569-46752</v>
      </c>
      <c r="CL50" s="2309"/>
      <c r="CM50" s="2107"/>
      <c r="CN50" s="2309"/>
      <c r="CO50" s="2107"/>
      <c r="CP50" s="325"/>
      <c r="CQ50" s="325"/>
      <c r="CR50" s="325"/>
      <c r="CS50" s="328" t="str">
        <f>CT49&amp;"-"&amp;CV49</f>
        <v>46753-46934</v>
      </c>
      <c r="CT50" s="2309"/>
      <c r="CU50" s="2107"/>
      <c r="CV50" s="2309"/>
      <c r="CW50" s="2107"/>
      <c r="CX50" s="325"/>
      <c r="CY50" s="325"/>
      <c r="CZ50" s="325"/>
      <c r="DA50" s="328" t="str">
        <f>DB49&amp;"-"&amp;DD49</f>
        <v>46935-47118</v>
      </c>
      <c r="DB50" s="2309"/>
      <c r="DC50" s="2107"/>
      <c r="DD50" s="2309"/>
      <c r="DE50" s="2107"/>
      <c r="DF50" s="1360"/>
      <c r="DG50" s="1360"/>
      <c r="DH50" s="1360"/>
      <c r="DI50" s="328" t="str">
        <f>DJ49&amp;"-"&amp;DL49</f>
        <v>-</v>
      </c>
      <c r="DJ50" s="2268"/>
      <c r="DK50" s="2268"/>
      <c r="DL50" s="2268"/>
      <c r="DM50" s="2268"/>
      <c r="DN50" s="1360"/>
      <c r="DO50" s="1360"/>
      <c r="DP50" s="1360"/>
      <c r="DQ50" s="328" t="str">
        <f>DR49&amp;"-"&amp;DT49</f>
        <v>-</v>
      </c>
      <c r="DR50" s="2268"/>
      <c r="DS50" s="2268"/>
      <c r="DT50" s="2268"/>
      <c r="DU50" s="2268"/>
      <c r="DV50" s="1349"/>
      <c r="DW50" s="2254"/>
      <c r="DY50" s="500"/>
      <c r="DZ50" s="500" t="str">
        <f>IF(T50="","",T50)</f>
        <v/>
      </c>
      <c r="EA50" s="500"/>
      <c r="EB50" s="500"/>
      <c r="EC50" s="1155">
        <v>1</v>
      </c>
    </row>
    <row customHeight="1" ht="11.549999999999999">
      <c r="A51" s="1363" t="s">
        <v>168</v>
      </c>
      <c r="B51" s="1363" t="s">
        <v>169</v>
      </c>
      <c r="C51" s="1363" t="s">
        <v>170</v>
      </c>
      <c r="D51" s="1363" t="s">
        <v>171</v>
      </c>
      <c r="E51" s="2259"/>
      <c r="F51" s="2259"/>
      <c r="G51" s="2259"/>
      <c r="H51" s="2259"/>
      <c r="I51" s="2286"/>
      <c r="J51" s="2256"/>
      <c r="K51" s="1363"/>
      <c r="L51" s="1364"/>
      <c r="P51" s="2257"/>
      <c r="Q51" s="2257"/>
      <c r="R51" s="356"/>
      <c r="S51" s="1278"/>
      <c r="T51" s="288" t="s">
        <v>419</v>
      </c>
      <c r="U51" s="367"/>
      <c r="V51" s="367"/>
      <c r="W51" s="367"/>
      <c r="X51" s="367"/>
      <c r="Y51" s="367"/>
      <c r="Z51" s="367"/>
      <c r="AA51" s="367"/>
      <c r="AB51" s="367"/>
      <c r="AC51" s="367"/>
      <c r="AD51" s="367"/>
      <c r="AE51" s="367"/>
      <c r="AF51" s="367"/>
      <c r="AG51" s="367"/>
      <c r="AH51" s="367"/>
      <c r="AI51" s="367"/>
      <c r="AJ51" s="367"/>
      <c r="AK51" s="367"/>
      <c r="AL51" s="2944"/>
      <c r="AM51" s="2945"/>
      <c r="AN51" s="2946"/>
      <c r="AO51" s="2947"/>
      <c r="AP51" s="2948"/>
      <c r="AQ51" s="2949"/>
      <c r="AR51" s="2950"/>
      <c r="AS51" s="2951"/>
      <c r="AT51" s="2952"/>
      <c r="AU51" s="2953"/>
      <c r="AV51" s="2954"/>
      <c r="AW51" s="2955"/>
      <c r="AX51" s="2956"/>
      <c r="AY51" s="2957"/>
      <c r="AZ51" s="2958"/>
      <c r="BA51" s="2959"/>
      <c r="BB51" s="2960"/>
      <c r="BC51" s="2961"/>
      <c r="BD51" s="2962"/>
      <c r="BE51" s="2963"/>
      <c r="BF51" s="2964"/>
      <c r="BG51" s="2965"/>
      <c r="BH51" s="2966"/>
      <c r="BI51" s="2967"/>
      <c r="BJ51" s="2968"/>
      <c r="BK51" s="2969"/>
      <c r="BL51" s="2970"/>
      <c r="BM51" s="2971"/>
      <c r="BN51" s="2972"/>
      <c r="BO51" s="2973"/>
      <c r="BP51" s="2974"/>
      <c r="BQ51" s="2975"/>
      <c r="BR51" s="2976"/>
      <c r="BS51" s="2977"/>
      <c r="BT51" s="2978"/>
      <c r="BU51" s="2979"/>
      <c r="BV51" s="2980"/>
      <c r="BW51" s="2981"/>
      <c r="BX51" s="2982"/>
      <c r="BY51" s="2983"/>
      <c r="BZ51" s="2984"/>
      <c r="CA51" s="2985"/>
      <c r="CB51" s="2986"/>
      <c r="CC51" s="2987"/>
      <c r="CD51" s="2988"/>
      <c r="CE51" s="2989"/>
      <c r="CF51" s="2990"/>
      <c r="CG51" s="2991"/>
      <c r="CH51" s="2992"/>
      <c r="CI51" s="2993"/>
      <c r="CJ51" s="2994"/>
      <c r="CK51" s="2995"/>
      <c r="CL51" s="2996"/>
      <c r="CM51" s="2997"/>
      <c r="CN51" s="2998"/>
      <c r="CO51" s="2999"/>
      <c r="CP51" s="3000"/>
      <c r="CQ51" s="3001"/>
      <c r="CR51" s="3002"/>
      <c r="CS51" s="3003"/>
      <c r="CT51" s="3004"/>
      <c r="CU51" s="3005"/>
      <c r="CV51" s="3006"/>
      <c r="CW51" s="3007"/>
      <c r="CX51" s="3008"/>
      <c r="CY51" s="3009"/>
      <c r="CZ51" s="3010"/>
      <c r="DA51" s="3011"/>
      <c r="DB51" s="3012"/>
      <c r="DC51" s="3013"/>
      <c r="DD51" s="3014"/>
      <c r="DE51" s="3015"/>
      <c r="DF51" s="3016"/>
      <c r="DG51" s="3017"/>
      <c r="DH51" s="3018"/>
      <c r="DI51" s="3019"/>
      <c r="DJ51" s="3020"/>
      <c r="DK51" s="3021"/>
      <c r="DL51" s="3022"/>
      <c r="DM51" s="3023"/>
      <c r="DN51" s="3024"/>
      <c r="DO51" s="3025"/>
      <c r="DP51" s="3026"/>
      <c r="DQ51" s="3027"/>
      <c r="DR51" s="3028"/>
      <c r="DS51" s="3029"/>
      <c r="DT51" s="3030"/>
      <c r="DU51" s="3031"/>
      <c r="DV51" s="324"/>
      <c r="DW51" s="2255"/>
      <c r="DY51" s="500"/>
      <c r="DZ51" s="500" t="str">
        <f>IF(T51="","",T51)</f>
        <v>Добавить вид теплоносителя (параметры теплоносителя)</v>
      </c>
      <c r="EA51" s="500"/>
      <c r="EB51" s="500"/>
      <c r="EC51" s="1155">
        <v>11</v>
      </c>
    </row>
    <row customHeight="1" ht="11.549999999999999">
      <c r="A52" s="1363" t="s">
        <v>168</v>
      </c>
      <c r="B52" s="1363" t="s">
        <v>169</v>
      </c>
      <c r="C52" s="1363" t="s">
        <v>170</v>
      </c>
      <c r="D52" s="1363" t="s">
        <v>171</v>
      </c>
      <c r="E52" s="2259"/>
      <c r="F52" s="2259"/>
      <c r="G52" s="2259"/>
      <c r="H52" s="2259"/>
      <c r="I52" s="2256"/>
      <c r="J52" s="1363"/>
      <c r="K52" s="1363"/>
      <c r="L52" s="1364"/>
      <c r="P52" s="2257"/>
      <c r="Q52" s="1331"/>
      <c r="R52" s="356"/>
      <c r="S52" s="1278"/>
      <c r="T52" s="287" t="s">
        <v>420</v>
      </c>
      <c r="U52" s="367"/>
      <c r="V52" s="367"/>
      <c r="W52" s="367"/>
      <c r="X52" s="367"/>
      <c r="Y52" s="367"/>
      <c r="Z52" s="367"/>
      <c r="AA52" s="367"/>
      <c r="AB52" s="367"/>
      <c r="AC52" s="366"/>
      <c r="AD52" s="367"/>
      <c r="AE52" s="367"/>
      <c r="AF52" s="367"/>
      <c r="AG52" s="367"/>
      <c r="AH52" s="367"/>
      <c r="AI52" s="367"/>
      <c r="AJ52" s="367"/>
      <c r="AK52" s="366"/>
      <c r="AL52" s="3032"/>
      <c r="AM52" s="3033"/>
      <c r="AN52" s="3034"/>
      <c r="AO52" s="3035"/>
      <c r="AP52" s="3036"/>
      <c r="AQ52" s="3037"/>
      <c r="AR52" s="3038"/>
      <c r="AS52" s="3039"/>
      <c r="AT52" s="3040"/>
      <c r="AU52" s="3041"/>
      <c r="AV52" s="3042"/>
      <c r="AW52" s="3043"/>
      <c r="AX52" s="3044"/>
      <c r="AY52" s="3045"/>
      <c r="AZ52" s="3046"/>
      <c r="BA52" s="3047"/>
      <c r="BB52" s="3048"/>
      <c r="BC52" s="3049"/>
      <c r="BD52" s="3050"/>
      <c r="BE52" s="3051"/>
      <c r="BF52" s="3052"/>
      <c r="BG52" s="3053"/>
      <c r="BH52" s="3054"/>
      <c r="BI52" s="3055"/>
      <c r="BJ52" s="3056"/>
      <c r="BK52" s="3057"/>
      <c r="BL52" s="3058"/>
      <c r="BM52" s="3059"/>
      <c r="BN52" s="3060"/>
      <c r="BO52" s="3061"/>
      <c r="BP52" s="3062"/>
      <c r="BQ52" s="3063"/>
      <c r="BR52" s="3064"/>
      <c r="BS52" s="3065"/>
      <c r="BT52" s="3066"/>
      <c r="BU52" s="3067"/>
      <c r="BV52" s="3068"/>
      <c r="BW52" s="3069"/>
      <c r="BX52" s="3070"/>
      <c r="BY52" s="3071"/>
      <c r="BZ52" s="3072"/>
      <c r="CA52" s="3073"/>
      <c r="CB52" s="3074"/>
      <c r="CC52" s="3075"/>
      <c r="CD52" s="3076"/>
      <c r="CE52" s="3077"/>
      <c r="CF52" s="3078"/>
      <c r="CG52" s="3079"/>
      <c r="CH52" s="3080"/>
      <c r="CI52" s="3081"/>
      <c r="CJ52" s="3082"/>
      <c r="CK52" s="3083"/>
      <c r="CL52" s="3084"/>
      <c r="CM52" s="3085"/>
      <c r="CN52" s="3086"/>
      <c r="CO52" s="3087"/>
      <c r="CP52" s="3088"/>
      <c r="CQ52" s="3089"/>
      <c r="CR52" s="3090"/>
      <c r="CS52" s="3091"/>
      <c r="CT52" s="3092"/>
      <c r="CU52" s="3093"/>
      <c r="CV52" s="3094"/>
      <c r="CW52" s="3095"/>
      <c r="CX52" s="3096"/>
      <c r="CY52" s="3097"/>
      <c r="CZ52" s="3098"/>
      <c r="DA52" s="3099"/>
      <c r="DB52" s="3100"/>
      <c r="DC52" s="3101"/>
      <c r="DD52" s="3102"/>
      <c r="DE52" s="3103"/>
      <c r="DF52" s="3104"/>
      <c r="DG52" s="3105"/>
      <c r="DH52" s="3106"/>
      <c r="DI52" s="3107"/>
      <c r="DJ52" s="3108"/>
      <c r="DK52" s="3109"/>
      <c r="DL52" s="3110"/>
      <c r="DM52" s="3111"/>
      <c r="DN52" s="3112"/>
      <c r="DO52" s="3113"/>
      <c r="DP52" s="3114"/>
      <c r="DQ52" s="3115"/>
      <c r="DR52" s="3116"/>
      <c r="DS52" s="3117"/>
      <c r="DT52" s="3118"/>
      <c r="DU52" s="3119"/>
      <c r="DV52" s="367"/>
      <c r="DW52" s="303"/>
      <c r="DY52" s="500"/>
      <c r="DZ52" s="500" t="str">
        <f>IF(T52="","",T52)</f>
        <v>Добавить группу потребителей</v>
      </c>
      <c r="EA52" s="500"/>
      <c r="EB52" s="500"/>
      <c r="EC52" s="1155">
        <v>11</v>
      </c>
    </row>
    <row customHeight="1" ht="14.699999999999998">
      <c r="A53" s="1363" t="s">
        <v>168</v>
      </c>
      <c r="B53" s="1363" t="s">
        <v>169</v>
      </c>
      <c r="C53" s="1363" t="s">
        <v>170</v>
      </c>
      <c r="D53" s="1363" t="s">
        <v>171</v>
      </c>
      <c r="E53" s="2259"/>
      <c r="F53" s="2259"/>
      <c r="G53" s="2259"/>
      <c r="H53" s="2258"/>
      <c r="I53" s="1363"/>
      <c r="J53" s="1363"/>
      <c r="K53" s="1363"/>
      <c r="L53" s="1364"/>
      <c r="M53" s="1365"/>
      <c r="N53" s="1365"/>
      <c r="O53" s="537"/>
      <c r="P53" s="360"/>
      <c r="Q53" s="375"/>
      <c r="R53" s="355"/>
      <c r="S53" s="1278"/>
      <c r="T53" s="365" t="s">
        <v>421</v>
      </c>
      <c r="U53" s="367"/>
      <c r="V53" s="367"/>
      <c r="W53" s="367"/>
      <c r="X53" s="367"/>
      <c r="Y53" s="367"/>
      <c r="Z53" s="367"/>
      <c r="AA53" s="367"/>
      <c r="AB53" s="367"/>
      <c r="AC53" s="366"/>
      <c r="AD53" s="367"/>
      <c r="AE53" s="367"/>
      <c r="AF53" s="367"/>
      <c r="AG53" s="367"/>
      <c r="AH53" s="367"/>
      <c r="AI53" s="367"/>
      <c r="AJ53" s="367"/>
      <c r="AK53" s="366"/>
      <c r="AL53" s="3120"/>
      <c r="AM53" s="3121"/>
      <c r="AN53" s="3122"/>
      <c r="AO53" s="3123"/>
      <c r="AP53" s="3124"/>
      <c r="AQ53" s="3125"/>
      <c r="AR53" s="3126"/>
      <c r="AS53" s="3127"/>
      <c r="AT53" s="3128"/>
      <c r="AU53" s="3129"/>
      <c r="AV53" s="3130"/>
      <c r="AW53" s="3131"/>
      <c r="AX53" s="3132"/>
      <c r="AY53" s="3133"/>
      <c r="AZ53" s="3134"/>
      <c r="BA53" s="3135"/>
      <c r="BB53" s="3136"/>
      <c r="BC53" s="3137"/>
      <c r="BD53" s="3138"/>
      <c r="BE53" s="3139"/>
      <c r="BF53" s="3140"/>
      <c r="BG53" s="3141"/>
      <c r="BH53" s="3142"/>
      <c r="BI53" s="3143"/>
      <c r="BJ53" s="3144"/>
      <c r="BK53" s="3145"/>
      <c r="BL53" s="3146"/>
      <c r="BM53" s="3147"/>
      <c r="BN53" s="3148"/>
      <c r="BO53" s="3149"/>
      <c r="BP53" s="3150"/>
      <c r="BQ53" s="3151"/>
      <c r="BR53" s="3152"/>
      <c r="BS53" s="3153"/>
      <c r="BT53" s="3154"/>
      <c r="BU53" s="3155"/>
      <c r="BV53" s="3156"/>
      <c r="BW53" s="3157"/>
      <c r="BX53" s="3158"/>
      <c r="BY53" s="3159"/>
      <c r="BZ53" s="3160"/>
      <c r="CA53" s="3161"/>
      <c r="CB53" s="3162"/>
      <c r="CC53" s="3163"/>
      <c r="CD53" s="3164"/>
      <c r="CE53" s="3165"/>
      <c r="CF53" s="3166"/>
      <c r="CG53" s="3167"/>
      <c r="CH53" s="3168"/>
      <c r="CI53" s="3169"/>
      <c r="CJ53" s="3170"/>
      <c r="CK53" s="3171"/>
      <c r="CL53" s="3172"/>
      <c r="CM53" s="3173"/>
      <c r="CN53" s="3174"/>
      <c r="CO53" s="3175"/>
      <c r="CP53" s="3176"/>
      <c r="CQ53" s="3177"/>
      <c r="CR53" s="3178"/>
      <c r="CS53" s="3179"/>
      <c r="CT53" s="3180"/>
      <c r="CU53" s="3181"/>
      <c r="CV53" s="3182"/>
      <c r="CW53" s="3183"/>
      <c r="CX53" s="3184"/>
      <c r="CY53" s="3185"/>
      <c r="CZ53" s="3186"/>
      <c r="DA53" s="3187"/>
      <c r="DB53" s="3188"/>
      <c r="DC53" s="3189"/>
      <c r="DD53" s="3190"/>
      <c r="DE53" s="3191"/>
      <c r="DF53" s="3192"/>
      <c r="DG53" s="3193"/>
      <c r="DH53" s="3194"/>
      <c r="DI53" s="3195"/>
      <c r="DJ53" s="3196"/>
      <c r="DK53" s="3197"/>
      <c r="DL53" s="3198"/>
      <c r="DM53" s="3199"/>
      <c r="DN53" s="3200"/>
      <c r="DO53" s="3201"/>
      <c r="DP53" s="3202"/>
      <c r="DQ53" s="3203"/>
      <c r="DR53" s="3204"/>
      <c r="DS53" s="3205"/>
      <c r="DT53" s="3206"/>
      <c r="DU53" s="3207"/>
      <c r="DV53" s="367"/>
      <c r="DW53" s="303"/>
      <c r="DY53" s="500"/>
      <c r="DZ53" s="500" t="str">
        <f>IF(T53="","",T53)</f>
        <v>Добавить схему подключения</v>
      </c>
      <c r="EA53" s="500"/>
      <c r="EB53" s="500"/>
      <c r="EC53" s="1155">
        <v>14</v>
      </c>
    </row>
    <row s="1642" customFormat="1" customHeight="1" ht="1.05">
      <c r="A54" s="1343" t="s">
        <v>168</v>
      </c>
      <c r="B54" s="1343" t="s">
        <v>169</v>
      </c>
      <c r="C54" s="1343" t="s">
        <v>170</v>
      </c>
      <c r="D54" s="1314"/>
      <c r="E54" s="2259"/>
      <c r="F54" s="2259"/>
      <c r="G54" s="2258"/>
      <c r="H54" s="1314"/>
      <c r="I54" s="1314"/>
      <c r="J54" s="1314"/>
      <c r="K54" s="1314"/>
      <c r="L54" s="1339"/>
      <c r="M54" s="1315"/>
      <c r="N54" s="1315"/>
      <c r="P54" s="1316"/>
      <c r="Q54" s="1317"/>
      <c r="R54" s="1316"/>
      <c r="S54" s="1322"/>
      <c r="T54" s="1325" t="s">
        <v>172</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T54" s="1324"/>
      <c r="AU54" s="1324"/>
      <c r="AV54" s="1324"/>
      <c r="AW54" s="1324"/>
      <c r="AX54" s="1324"/>
      <c r="AY54" s="1324"/>
      <c r="AZ54" s="1324"/>
      <c r="BA54" s="1324"/>
      <c r="BB54" s="1324"/>
      <c r="BC54" s="1324"/>
      <c r="BD54" s="1324"/>
      <c r="BE54" s="1324"/>
      <c r="BF54" s="1324"/>
      <c r="BG54" s="1324"/>
      <c r="BH54" s="1324"/>
      <c r="BI54" s="1324"/>
      <c r="BJ54" s="1324"/>
      <c r="BK54" s="1324"/>
      <c r="BL54" s="1324"/>
      <c r="BM54" s="1324"/>
      <c r="BN54" s="1324"/>
      <c r="BO54" s="1324"/>
      <c r="BP54" s="1324"/>
      <c r="BQ54" s="1324"/>
      <c r="BR54" s="1324"/>
      <c r="BS54" s="1324"/>
      <c r="BT54" s="1324"/>
      <c r="BU54" s="1324"/>
      <c r="BV54" s="1324"/>
      <c r="BW54" s="1324"/>
      <c r="BX54" s="1324"/>
      <c r="BY54" s="1324"/>
      <c r="BZ54" s="1324"/>
      <c r="CA54" s="1324"/>
      <c r="CB54" s="1324"/>
      <c r="CC54" s="1324"/>
      <c r="CD54" s="1324"/>
      <c r="CE54" s="1324"/>
      <c r="CF54" s="1324"/>
      <c r="CG54" s="1324"/>
      <c r="CH54" s="1324"/>
      <c r="CI54" s="1324"/>
      <c r="CJ54" s="1324"/>
      <c r="CK54" s="1324"/>
      <c r="CL54" s="1324"/>
      <c r="CM54" s="1324"/>
      <c r="CN54" s="1324"/>
      <c r="CO54" s="1324"/>
      <c r="CP54" s="1324"/>
      <c r="CQ54" s="1324"/>
      <c r="CR54" s="1324"/>
      <c r="CS54" s="1324"/>
      <c r="CT54" s="1324"/>
      <c r="CU54" s="1324"/>
      <c r="CV54" s="1324"/>
      <c r="CW54" s="1324"/>
      <c r="CX54" s="1324"/>
      <c r="CY54" s="1324"/>
      <c r="CZ54" s="1324"/>
      <c r="DA54" s="1324"/>
      <c r="DB54" s="1324"/>
      <c r="DC54" s="1324"/>
      <c r="DD54" s="1324"/>
      <c r="DE54" s="1324"/>
      <c r="DF54" s="1324"/>
      <c r="DG54" s="1324"/>
      <c r="DH54" s="1324"/>
      <c r="DI54" s="1324"/>
      <c r="DJ54" s="1324"/>
      <c r="DK54" s="1324"/>
      <c r="DL54" s="1324"/>
      <c r="DM54" s="1324"/>
      <c r="DN54" s="1324"/>
      <c r="DO54" s="1324"/>
      <c r="DP54" s="1324"/>
      <c r="DQ54" s="1324"/>
      <c r="DR54" s="1324"/>
      <c r="DS54" s="1324"/>
      <c r="DT54" s="1324"/>
      <c r="DU54" s="1324"/>
      <c r="DV54" s="1324"/>
      <c r="DW54" s="1324"/>
      <c r="DY54" s="789"/>
      <c r="DZ54" s="789" t="str">
        <f>IF(T54="","",T54)</f>
        <v>Добавить источник для дифференциации</v>
      </c>
      <c r="EA54" s="789"/>
      <c r="EB54" s="789"/>
      <c r="EC54" s="518">
        <v>1</v>
      </c>
    </row>
    <row s="1642" customFormat="1" customHeight="1" ht="1.05">
      <c r="A55" s="1343" t="s">
        <v>168</v>
      </c>
      <c r="B55" s="1343" t="s">
        <v>169</v>
      </c>
      <c r="C55" s="1314"/>
      <c r="D55" s="1314"/>
      <c r="E55" s="2259"/>
      <c r="F55" s="2258"/>
      <c r="G55" s="1314"/>
      <c r="H55" s="1314"/>
      <c r="I55" s="1314"/>
      <c r="J55" s="1314"/>
      <c r="K55" s="1314"/>
      <c r="L55" s="1339"/>
      <c r="M55" s="1321"/>
      <c r="N55" s="1321"/>
      <c r="P55" s="1316"/>
      <c r="Q55" s="1317"/>
      <c r="R55" s="1316"/>
      <c r="S55" s="1322"/>
      <c r="T55" s="1325" t="s">
        <v>173</v>
      </c>
      <c r="U55" s="1324"/>
      <c r="V55" s="1324"/>
      <c r="W55" s="1324"/>
      <c r="X55" s="1324"/>
      <c r="Y55" s="1324"/>
      <c r="Z55" s="1324"/>
      <c r="AA55" s="1324"/>
      <c r="AB55" s="1324"/>
      <c r="AC55" s="1324"/>
      <c r="AD55" s="1324"/>
      <c r="AE55" s="1324"/>
      <c r="AF55" s="1324"/>
      <c r="AG55" s="1324"/>
      <c r="AH55" s="1324"/>
      <c r="AI55" s="1324"/>
      <c r="AJ55" s="1324"/>
      <c r="AK55" s="1324"/>
      <c r="AL55" s="1324"/>
      <c r="AM55" s="1324"/>
      <c r="AN55" s="1324"/>
      <c r="AO55" s="1324"/>
      <c r="AP55" s="1324"/>
      <c r="AQ55" s="1324"/>
      <c r="AR55" s="1324"/>
      <c r="AS55" s="1324"/>
      <c r="AT55" s="1324"/>
      <c r="AU55" s="1324"/>
      <c r="AV55" s="1324"/>
      <c r="AW55" s="1324"/>
      <c r="AX55" s="1324"/>
      <c r="AY55" s="1324"/>
      <c r="AZ55" s="1324"/>
      <c r="BA55" s="1324"/>
      <c r="BB55" s="1324"/>
      <c r="BC55" s="1324"/>
      <c r="BD55" s="1324"/>
      <c r="BE55" s="1324"/>
      <c r="BF55" s="1324"/>
      <c r="BG55" s="1324"/>
      <c r="BH55" s="1324"/>
      <c r="BI55" s="1324"/>
      <c r="BJ55" s="1324"/>
      <c r="BK55" s="1324"/>
      <c r="BL55" s="1324"/>
      <c r="BM55" s="1324"/>
      <c r="BN55" s="1324"/>
      <c r="BO55" s="1324"/>
      <c r="BP55" s="1324"/>
      <c r="BQ55" s="1324"/>
      <c r="BR55" s="1324"/>
      <c r="BS55" s="1324"/>
      <c r="BT55" s="1324"/>
      <c r="BU55" s="1324"/>
      <c r="BV55" s="1324"/>
      <c r="BW55" s="1324"/>
      <c r="BX55" s="1324"/>
      <c r="BY55" s="1324"/>
      <c r="BZ55" s="1324"/>
      <c r="CA55" s="1324"/>
      <c r="CB55" s="1324"/>
      <c r="CC55" s="1324"/>
      <c r="CD55" s="1324"/>
      <c r="CE55" s="1324"/>
      <c r="CF55" s="1324"/>
      <c r="CG55" s="1324"/>
      <c r="CH55" s="1324"/>
      <c r="CI55" s="1324"/>
      <c r="CJ55" s="1324"/>
      <c r="CK55" s="1324"/>
      <c r="CL55" s="1324"/>
      <c r="CM55" s="1324"/>
      <c r="CN55" s="1324"/>
      <c r="CO55" s="1324"/>
      <c r="CP55" s="1324"/>
      <c r="CQ55" s="1324"/>
      <c r="CR55" s="1324"/>
      <c r="CS55" s="1324"/>
      <c r="CT55" s="1324"/>
      <c r="CU55" s="1324"/>
      <c r="CV55" s="1324"/>
      <c r="CW55" s="1324"/>
      <c r="CX55" s="1324"/>
      <c r="CY55" s="1324"/>
      <c r="CZ55" s="1324"/>
      <c r="DA55" s="1324"/>
      <c r="DB55" s="1324"/>
      <c r="DC55" s="1324"/>
      <c r="DD55" s="1324"/>
      <c r="DE55" s="1324"/>
      <c r="DF55" s="1324"/>
      <c r="DG55" s="1324"/>
      <c r="DH55" s="1324"/>
      <c r="DI55" s="1324"/>
      <c r="DJ55" s="1324"/>
      <c r="DK55" s="1324"/>
      <c r="DL55" s="1324"/>
      <c r="DM55" s="1324"/>
      <c r="DN55" s="1324"/>
      <c r="DO55" s="1324"/>
      <c r="DP55" s="1324"/>
      <c r="DQ55" s="1324"/>
      <c r="DR55" s="1324"/>
      <c r="DS55" s="1324"/>
      <c r="DT55" s="1324"/>
      <c r="DU55" s="1324"/>
      <c r="DV55" s="1324"/>
      <c r="DW55" s="1324"/>
      <c r="DY55" s="789"/>
      <c r="DZ55" s="789" t="str">
        <f>IF(T55="","",T55)</f>
        <v>Добавить централизованную систему для дифференциации</v>
      </c>
      <c r="EA55" s="789"/>
      <c r="EB55" s="789"/>
      <c r="EC55" s="518">
        <v>1</v>
      </c>
    </row>
    <row s="1642" customFormat="1" customHeight="1" ht="1.05">
      <c r="A56" s="1343" t="s">
        <v>168</v>
      </c>
      <c r="B56" s="1343"/>
      <c r="C56" s="1343"/>
      <c r="D56" s="1343"/>
      <c r="E56" s="2258"/>
      <c r="F56" s="1343"/>
      <c r="G56" s="1343"/>
      <c r="H56" s="1343"/>
      <c r="I56" s="1343"/>
      <c r="J56" s="1343"/>
      <c r="K56" s="1343"/>
      <c r="L56" s="1346"/>
      <c r="M56" s="1321"/>
      <c r="N56" s="1321"/>
      <c r="O56" s="518"/>
      <c r="P56" s="380"/>
      <c r="Q56" s="1344"/>
      <c r="R56" s="380"/>
      <c r="S56" s="1322"/>
      <c r="T56" s="1325" t="s">
        <v>174</v>
      </c>
      <c r="U56" s="1324"/>
      <c r="V56" s="1324"/>
      <c r="W56" s="1324"/>
      <c r="X56" s="1324"/>
      <c r="Y56" s="1324"/>
      <c r="Z56" s="1324"/>
      <c r="AA56" s="1324"/>
      <c r="AB56" s="1324"/>
      <c r="AC56" s="1324"/>
      <c r="AD56" s="1324"/>
      <c r="AE56" s="1324"/>
      <c r="AF56" s="1324"/>
      <c r="AG56" s="1324"/>
      <c r="AH56" s="1324"/>
      <c r="AI56" s="1324"/>
      <c r="AJ56" s="1324"/>
      <c r="AK56" s="1324"/>
      <c r="AL56" s="1324"/>
      <c r="AM56" s="1324"/>
      <c r="AN56" s="1324"/>
      <c r="AO56" s="1324"/>
      <c r="AP56" s="1324"/>
      <c r="AQ56" s="1324"/>
      <c r="AR56" s="1324"/>
      <c r="AS56" s="1324"/>
      <c r="AT56" s="1324"/>
      <c r="AU56" s="1324"/>
      <c r="AV56" s="1324"/>
      <c r="AW56" s="1324"/>
      <c r="AX56" s="1324"/>
      <c r="AY56" s="1324"/>
      <c r="AZ56" s="1324"/>
      <c r="BA56" s="1324"/>
      <c r="BB56" s="1324"/>
      <c r="BC56" s="1324"/>
      <c r="BD56" s="1324"/>
      <c r="BE56" s="1324"/>
      <c r="BF56" s="1324"/>
      <c r="BG56" s="1324"/>
      <c r="BH56" s="1324"/>
      <c r="BI56" s="1324"/>
      <c r="BJ56" s="1324"/>
      <c r="BK56" s="1324"/>
      <c r="BL56" s="1324"/>
      <c r="BM56" s="1324"/>
      <c r="BN56" s="1324"/>
      <c r="BO56" s="1324"/>
      <c r="BP56" s="1324"/>
      <c r="BQ56" s="1324"/>
      <c r="BR56" s="1324"/>
      <c r="BS56" s="1324"/>
      <c r="BT56" s="1324"/>
      <c r="BU56" s="1324"/>
      <c r="BV56" s="1324"/>
      <c r="BW56" s="1324"/>
      <c r="BX56" s="1324"/>
      <c r="BY56" s="1324"/>
      <c r="BZ56" s="1324"/>
      <c r="CA56" s="1324"/>
      <c r="CB56" s="1324"/>
      <c r="CC56" s="1324"/>
      <c r="CD56" s="1324"/>
      <c r="CE56" s="1324"/>
      <c r="CF56" s="1324"/>
      <c r="CG56" s="1324"/>
      <c r="CH56" s="1324"/>
      <c r="CI56" s="1324"/>
      <c r="CJ56" s="1324"/>
      <c r="CK56" s="1324"/>
      <c r="CL56" s="1324"/>
      <c r="CM56" s="1324"/>
      <c r="CN56" s="1324"/>
      <c r="CO56" s="1324"/>
      <c r="CP56" s="1324"/>
      <c r="CQ56" s="1324"/>
      <c r="CR56" s="1324"/>
      <c r="CS56" s="1324"/>
      <c r="CT56" s="1324"/>
      <c r="CU56" s="1324"/>
      <c r="CV56" s="1324"/>
      <c r="CW56" s="1324"/>
      <c r="CX56" s="1324"/>
      <c r="CY56" s="1324"/>
      <c r="CZ56" s="1324"/>
      <c r="DA56" s="1324"/>
      <c r="DB56" s="1324"/>
      <c r="DC56" s="1324"/>
      <c r="DD56" s="1324"/>
      <c r="DE56" s="1324"/>
      <c r="DF56" s="1324"/>
      <c r="DG56" s="1324"/>
      <c r="DH56" s="1324"/>
      <c r="DI56" s="1324"/>
      <c r="DJ56" s="1324"/>
      <c r="DK56" s="1324"/>
      <c r="DL56" s="1324"/>
      <c r="DM56" s="1324"/>
      <c r="DN56" s="1324"/>
      <c r="DO56" s="1324"/>
      <c r="DP56" s="1324"/>
      <c r="DQ56" s="1324"/>
      <c r="DR56" s="1324"/>
      <c r="DS56" s="1324"/>
      <c r="DT56" s="1324"/>
      <c r="DU56" s="1324"/>
      <c r="DV56" s="1324"/>
      <c r="DW56" s="1324"/>
      <c r="DY56" s="500"/>
      <c r="DZ56" s="500" t="str">
        <f>IF(T56="","",T56)</f>
        <v>Добавить территорию для дифференциации</v>
      </c>
      <c r="EA56" s="500"/>
      <c r="EB56" s="500"/>
      <c r="EC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175</v>
      </c>
      <c r="U57" s="1324"/>
      <c r="V57" s="1324"/>
      <c r="W57" s="1324"/>
      <c r="X57" s="1324"/>
      <c r="Y57" s="1324"/>
      <c r="Z57" s="1324"/>
      <c r="AA57" s="1324"/>
      <c r="AB57" s="1324"/>
      <c r="AC57" s="1324"/>
      <c r="AD57" s="1324"/>
      <c r="AE57" s="1324"/>
      <c r="AF57" s="1324"/>
      <c r="AG57" s="1324"/>
      <c r="AH57" s="1324"/>
      <c r="AI57" s="1324"/>
      <c r="AJ57" s="1324"/>
      <c r="AK57" s="1324"/>
      <c r="AL57" s="1324"/>
      <c r="AM57" s="1324"/>
      <c r="AN57" s="1324"/>
      <c r="AO57" s="1324"/>
      <c r="AP57" s="1324"/>
      <c r="AQ57" s="1324"/>
      <c r="AR57" s="1324"/>
      <c r="AS57" s="1324"/>
      <c r="AT57" s="1324"/>
      <c r="AU57" s="1324"/>
      <c r="AV57" s="1324"/>
      <c r="AW57" s="1324"/>
      <c r="AX57" s="1324"/>
      <c r="AY57" s="1324"/>
      <c r="AZ57" s="1324"/>
      <c r="BA57" s="1324"/>
      <c r="BB57" s="1324"/>
      <c r="BC57" s="1324"/>
      <c r="BD57" s="1324"/>
      <c r="BE57" s="1324"/>
      <c r="BF57" s="1324"/>
      <c r="BG57" s="1324"/>
      <c r="BH57" s="1324"/>
      <c r="BI57" s="1324"/>
      <c r="BJ57" s="1324"/>
      <c r="BK57" s="1324"/>
      <c r="BL57" s="1324"/>
      <c r="BM57" s="1324"/>
      <c r="BN57" s="1324"/>
      <c r="BO57" s="1324"/>
      <c r="BP57" s="1324"/>
      <c r="BQ57" s="1324"/>
      <c r="BR57" s="1324"/>
      <c r="BS57" s="1324"/>
      <c r="BT57" s="1324"/>
      <c r="BU57" s="1324"/>
      <c r="BV57" s="1324"/>
      <c r="BW57" s="1324"/>
      <c r="BX57" s="1324"/>
      <c r="BY57" s="1324"/>
      <c r="BZ57" s="1324"/>
      <c r="CA57" s="1324"/>
      <c r="CB57" s="1324"/>
      <c r="CC57" s="1324"/>
      <c r="CD57" s="1324"/>
      <c r="CE57" s="1324"/>
      <c r="CF57" s="1324"/>
      <c r="CG57" s="1324"/>
      <c r="CH57" s="1324"/>
      <c r="CI57" s="1324"/>
      <c r="CJ57" s="1324"/>
      <c r="CK57" s="1324"/>
      <c r="CL57" s="1324"/>
      <c r="CM57" s="1324"/>
      <c r="CN57" s="1324"/>
      <c r="CO57" s="1324"/>
      <c r="CP57" s="1324"/>
      <c r="CQ57" s="1324"/>
      <c r="CR57" s="1324"/>
      <c r="CS57" s="1324"/>
      <c r="CT57" s="1324"/>
      <c r="CU57" s="1324"/>
      <c r="CV57" s="1324"/>
      <c r="CW57" s="1324"/>
      <c r="CX57" s="1324"/>
      <c r="CY57" s="1324"/>
      <c r="CZ57" s="1324"/>
      <c r="DA57" s="1324"/>
      <c r="DB57" s="1324"/>
      <c r="DC57" s="1324"/>
      <c r="DD57" s="1324"/>
      <c r="DE57" s="1324"/>
      <c r="DF57" s="1324"/>
      <c r="DG57" s="1324"/>
      <c r="DH57" s="1324"/>
      <c r="DI57" s="1324"/>
      <c r="DJ57" s="1324"/>
      <c r="DK57" s="1324"/>
      <c r="DL57" s="1324"/>
      <c r="DM57" s="1324"/>
      <c r="DN57" s="1324"/>
      <c r="DO57" s="1324"/>
      <c r="DP57" s="1324"/>
      <c r="DQ57" s="1324"/>
      <c r="DR57" s="1324"/>
      <c r="DS57" s="1324"/>
      <c r="DT57" s="1324"/>
      <c r="DU57" s="1324"/>
      <c r="DV57" s="1324"/>
      <c r="DW57" s="1324"/>
      <c r="DY57" s="789"/>
      <c r="DZ57" s="789" t="str">
        <f>IF(T57="","",T57)</f>
        <v>Добавить наименование тарифа</v>
      </c>
      <c r="EA57" s="789"/>
      <c r="EB57" s="789"/>
      <c r="EC57" s="518">
        <v>1</v>
      </c>
    </row>
    <row customHeight="1" ht="11.549999999999999">
      <c r="M58" s="1160"/>
      <c r="N58" s="1160"/>
      <c r="O58" s="537"/>
      <c r="P58" s="1155"/>
      <c r="Q58" s="1155"/>
      <c r="R58" s="1155"/>
      <c r="S58" s="1155"/>
      <c r="AL58" s="1635"/>
      <c r="AM58" s="1635"/>
      <c r="AN58" s="1635"/>
      <c r="AO58" s="1635"/>
      <c r="AP58" s="1635"/>
      <c r="AQ58" s="1635"/>
      <c r="AR58" s="1635"/>
      <c r="AS58" s="1635"/>
      <c r="AT58" s="1635"/>
      <c r="AU58" s="1635"/>
      <c r="AV58" s="1635"/>
      <c r="AW58" s="1635"/>
      <c r="AX58" s="1635"/>
      <c r="AY58" s="1635"/>
      <c r="AZ58" s="1635"/>
      <c r="BA58" s="1635"/>
      <c r="BB58" s="1635"/>
      <c r="BC58" s="1635"/>
      <c r="BD58" s="1635"/>
      <c r="BE58" s="1635"/>
      <c r="BF58" s="1635"/>
      <c r="BG58" s="1635"/>
      <c r="BH58" s="1635"/>
      <c r="BI58" s="1635"/>
      <c r="BJ58" s="1635"/>
      <c r="BK58" s="1635"/>
      <c r="BL58" s="1635"/>
      <c r="BM58" s="1635"/>
      <c r="BN58" s="1635"/>
      <c r="BO58" s="1635"/>
      <c r="BP58" s="1635"/>
      <c r="BQ58" s="1635"/>
      <c r="BR58" s="1635"/>
      <c r="BS58" s="1635"/>
      <c r="BT58" s="1635"/>
      <c r="BU58" s="1635"/>
      <c r="BV58" s="1635"/>
      <c r="BW58" s="1635"/>
      <c r="BX58" s="1635"/>
      <c r="BY58" s="1635"/>
      <c r="BZ58" s="1635"/>
      <c r="CA58" s="1635"/>
      <c r="CB58" s="1635"/>
      <c r="CC58" s="1635"/>
      <c r="CD58" s="1635"/>
      <c r="CE58" s="1635"/>
      <c r="CF58" s="1635"/>
      <c r="CG58" s="1635"/>
      <c r="CH58" s="1635"/>
      <c r="CI58" s="1635"/>
      <c r="CJ58" s="1635"/>
      <c r="CK58" s="1635"/>
      <c r="CL58" s="1635"/>
      <c r="CM58" s="1635"/>
      <c r="CN58" s="1635"/>
      <c r="CO58" s="1635"/>
      <c r="CP58" s="1635"/>
      <c r="CQ58" s="1635"/>
      <c r="CR58" s="1635"/>
      <c r="CS58" s="1635"/>
      <c r="CT58" s="1635"/>
      <c r="CU58" s="1635"/>
      <c r="CV58" s="1635"/>
      <c r="CW58" s="1635"/>
      <c r="CX58" s="1635"/>
      <c r="CY58" s="1635"/>
      <c r="CZ58" s="1635"/>
      <c r="DA58" s="1635"/>
      <c r="DB58" s="1635"/>
      <c r="DC58" s="1635"/>
      <c r="DD58" s="1635"/>
      <c r="DE58" s="1635"/>
      <c r="DF58" s="1635"/>
      <c r="DG58" s="1635"/>
      <c r="DH58" s="1635"/>
      <c r="DI58" s="1635"/>
      <c r="DJ58" s="1635"/>
      <c r="DK58" s="1635"/>
      <c r="DL58" s="1635"/>
      <c r="DM58" s="1635"/>
      <c r="DN58" s="1635"/>
      <c r="DO58" s="1635"/>
      <c r="DP58" s="1635"/>
      <c r="DQ58" s="1635"/>
      <c r="DR58" s="1635"/>
      <c r="DS58" s="1635"/>
      <c r="DT58" s="1635"/>
      <c r="DU58" s="1635"/>
      <c r="DX58" s="1155"/>
      <c r="DY58" s="1155"/>
      <c r="DZ58" s="1155"/>
      <c r="EA58" s="1155"/>
      <c r="EB58" s="1155"/>
      <c r="EC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385"/>
      <c r="AM59" s="2385"/>
      <c r="AN59" s="2385"/>
      <c r="AO59" s="2385"/>
      <c r="AP59" s="2385"/>
      <c r="AQ59" s="2385"/>
      <c r="AR59" s="2385"/>
      <c r="AS59" s="2385"/>
      <c r="AT59" s="2385"/>
      <c r="AU59" s="2385"/>
      <c r="AV59" s="2385"/>
      <c r="AW59" s="2385"/>
      <c r="AX59" s="2385"/>
      <c r="AY59" s="2385"/>
      <c r="AZ59" s="2385"/>
      <c r="BA59" s="2385"/>
      <c r="BB59" s="2385"/>
      <c r="BC59" s="2385"/>
      <c r="BD59" s="2385"/>
      <c r="BE59" s="2385"/>
      <c r="BF59" s="2385"/>
      <c r="BG59" s="2385"/>
      <c r="BH59" s="2385"/>
      <c r="BI59" s="2385"/>
      <c r="BJ59" s="2385"/>
      <c r="BK59" s="2385"/>
      <c r="BL59" s="2385"/>
      <c r="BM59" s="2385"/>
      <c r="BN59" s="2385"/>
      <c r="BO59" s="2385"/>
      <c r="BP59" s="2385"/>
      <c r="BQ59" s="2385"/>
      <c r="BR59" s="2385"/>
      <c r="BS59" s="2385"/>
      <c r="BT59" s="2385"/>
      <c r="BU59" s="2385"/>
      <c r="BV59" s="2385"/>
      <c r="BW59" s="2385"/>
      <c r="BX59" s="2385"/>
      <c r="BY59" s="2385"/>
      <c r="BZ59" s="2385"/>
      <c r="CA59" s="2385"/>
      <c r="CB59" s="2385"/>
      <c r="CC59" s="2385"/>
      <c r="CD59" s="2385"/>
      <c r="CE59" s="2385"/>
      <c r="CF59" s="2385"/>
      <c r="CG59" s="2385"/>
      <c r="CH59" s="2385"/>
      <c r="CI59" s="2385"/>
      <c r="CJ59" s="2385"/>
      <c r="CK59" s="2385"/>
      <c r="CL59" s="2385"/>
      <c r="CM59" s="2385"/>
      <c r="CN59" s="2385"/>
      <c r="CO59" s="2385"/>
      <c r="CP59" s="2385"/>
      <c r="CQ59" s="2385"/>
      <c r="CR59" s="2385"/>
      <c r="CS59" s="2385"/>
      <c r="CT59" s="2385"/>
      <c r="CU59" s="2385"/>
      <c r="CV59" s="2385"/>
      <c r="CW59" s="2385"/>
      <c r="CX59" s="2385"/>
      <c r="CY59" s="2385"/>
      <c r="CZ59" s="2385"/>
      <c r="DA59" s="2385"/>
      <c r="DB59" s="2385"/>
      <c r="DC59" s="2385"/>
      <c r="DD59" s="2385"/>
      <c r="DE59" s="2385"/>
      <c r="DF59" s="2385"/>
      <c r="DG59" s="2385"/>
      <c r="DH59" s="2385"/>
      <c r="DI59" s="2385"/>
      <c r="DJ59" s="2385"/>
      <c r="DK59" s="2385"/>
      <c r="DL59" s="2385"/>
      <c r="DM59" s="2385"/>
      <c r="DN59" s="2385"/>
      <c r="DO59" s="2385"/>
      <c r="DP59" s="2385"/>
      <c r="DQ59" s="2385"/>
      <c r="DR59" s="2385"/>
      <c r="DS59" s="2385"/>
      <c r="DT59" s="2385"/>
      <c r="DU59" s="2385"/>
      <c r="DV59" s="2285"/>
      <c r="DW59" s="2285"/>
      <c r="EC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385"/>
      <c r="AM60" s="2385"/>
      <c r="AN60" s="2385"/>
      <c r="AO60" s="2385"/>
      <c r="AP60" s="2385"/>
      <c r="AQ60" s="2385"/>
      <c r="AR60" s="2385"/>
      <c r="AS60" s="2385"/>
      <c r="AT60" s="2385"/>
      <c r="AU60" s="2385"/>
      <c r="AV60" s="2385"/>
      <c r="AW60" s="2385"/>
      <c r="AX60" s="2385"/>
      <c r="AY60" s="2385"/>
      <c r="AZ60" s="2385"/>
      <c r="BA60" s="2385"/>
      <c r="BB60" s="2385"/>
      <c r="BC60" s="2385"/>
      <c r="BD60" s="2385"/>
      <c r="BE60" s="2385"/>
      <c r="BF60" s="2385"/>
      <c r="BG60" s="2385"/>
      <c r="BH60" s="2385"/>
      <c r="BI60" s="2385"/>
      <c r="BJ60" s="2385"/>
      <c r="BK60" s="2385"/>
      <c r="BL60" s="2385"/>
      <c r="BM60" s="2385"/>
      <c r="BN60" s="2385"/>
      <c r="BO60" s="2385"/>
      <c r="BP60" s="2385"/>
      <c r="BQ60" s="2385"/>
      <c r="BR60" s="2385"/>
      <c r="BS60" s="2385"/>
      <c r="BT60" s="2385"/>
      <c r="BU60" s="2385"/>
      <c r="BV60" s="2385"/>
      <c r="BW60" s="2385"/>
      <c r="BX60" s="2385"/>
      <c r="BY60" s="2385"/>
      <c r="BZ60" s="2385"/>
      <c r="CA60" s="2385"/>
      <c r="CB60" s="2385"/>
      <c r="CC60" s="2385"/>
      <c r="CD60" s="2385"/>
      <c r="CE60" s="2385"/>
      <c r="CF60" s="2385"/>
      <c r="CG60" s="2385"/>
      <c r="CH60" s="2385"/>
      <c r="CI60" s="2385"/>
      <c r="CJ60" s="2385"/>
      <c r="CK60" s="2385"/>
      <c r="CL60" s="2385"/>
      <c r="CM60" s="2385"/>
      <c r="CN60" s="2385"/>
      <c r="CO60" s="2385"/>
      <c r="CP60" s="2385"/>
      <c r="CQ60" s="2385"/>
      <c r="CR60" s="2385"/>
      <c r="CS60" s="2385"/>
      <c r="CT60" s="2385"/>
      <c r="CU60" s="2385"/>
      <c r="CV60" s="2385"/>
      <c r="CW60" s="2385"/>
      <c r="CX60" s="2385"/>
      <c r="CY60" s="2385"/>
      <c r="CZ60" s="2385"/>
      <c r="DA60" s="2385"/>
      <c r="DB60" s="2385"/>
      <c r="DC60" s="2385"/>
      <c r="DD60" s="2385"/>
      <c r="DE60" s="2385"/>
      <c r="DF60" s="2385"/>
      <c r="DG60" s="2385"/>
      <c r="DH60" s="2385"/>
      <c r="DI60" s="2385"/>
      <c r="DJ60" s="2385"/>
      <c r="DK60" s="2385"/>
      <c r="DL60" s="2385"/>
      <c r="DM60" s="2385"/>
      <c r="DN60" s="2385"/>
      <c r="DO60" s="2385"/>
      <c r="DP60" s="2385"/>
      <c r="DQ60" s="2385"/>
      <c r="DR60" s="2385"/>
      <c r="DS60" s="2385"/>
      <c r="DT60" s="2385"/>
      <c r="DU60" s="2385"/>
      <c r="DV60" s="2285"/>
      <c r="DW60" s="2285"/>
      <c r="EC60" s="1155">
        <v>62</v>
      </c>
    </row>
    <row customHeight="1" ht="14.699999999999998">
      <c r="O61" s="537"/>
      <c r="AL61" s="1635"/>
      <c r="AM61" s="1635"/>
      <c r="AN61" s="1635"/>
      <c r="AO61" s="1635"/>
      <c r="AP61" s="1635"/>
      <c r="AQ61" s="1635"/>
      <c r="AR61" s="1635"/>
      <c r="AS61" s="1635"/>
      <c r="AT61" s="1635"/>
      <c r="AU61" s="1635"/>
      <c r="AV61" s="1635"/>
      <c r="AW61" s="1635"/>
      <c r="AX61" s="1635"/>
      <c r="AY61" s="1635"/>
      <c r="AZ61" s="1635"/>
      <c r="BA61" s="1635"/>
      <c r="BB61" s="1635"/>
      <c r="BC61" s="1635"/>
      <c r="BD61" s="1635"/>
      <c r="BE61" s="1635"/>
      <c r="BF61" s="1635"/>
      <c r="BG61" s="1635"/>
      <c r="BH61" s="1635"/>
      <c r="BI61" s="1635"/>
      <c r="BJ61" s="1635"/>
      <c r="BK61" s="1635"/>
      <c r="BL61" s="1635"/>
      <c r="BM61" s="1635"/>
      <c r="BN61" s="1635"/>
      <c r="BO61" s="1635"/>
      <c r="BP61" s="1635"/>
      <c r="BQ61" s="1635"/>
      <c r="BR61" s="1635"/>
      <c r="BS61" s="1635"/>
      <c r="BT61" s="1635"/>
      <c r="BU61" s="1635"/>
      <c r="BV61" s="1635"/>
      <c r="BW61" s="1635"/>
      <c r="BX61" s="1635"/>
      <c r="BY61" s="1635"/>
      <c r="BZ61" s="1635"/>
      <c r="CA61" s="1635"/>
      <c r="CB61" s="1635"/>
      <c r="CC61" s="1635"/>
      <c r="CD61" s="1635"/>
      <c r="CE61" s="1635"/>
      <c r="CF61" s="1635"/>
      <c r="CG61" s="1635"/>
      <c r="CH61" s="1635"/>
      <c r="CI61" s="1635"/>
      <c r="CJ61" s="1635"/>
      <c r="CK61" s="1635"/>
      <c r="CL61" s="1635"/>
      <c r="CM61" s="1635"/>
      <c r="CN61" s="1635"/>
      <c r="CO61" s="1635"/>
      <c r="CP61" s="1635"/>
      <c r="CQ61" s="1635"/>
      <c r="CR61" s="1635"/>
      <c r="CS61" s="1635"/>
      <c r="CT61" s="1635"/>
      <c r="CU61" s="1635"/>
      <c r="CV61" s="1635"/>
      <c r="CW61" s="1635"/>
      <c r="CX61" s="1635"/>
      <c r="CY61" s="1635"/>
      <c r="CZ61" s="1635"/>
      <c r="DA61" s="1635"/>
      <c r="DB61" s="1635"/>
      <c r="DC61" s="1635"/>
      <c r="DD61" s="1635"/>
      <c r="DE61" s="1635"/>
      <c r="DF61" s="1635"/>
      <c r="DG61" s="1635"/>
      <c r="DH61" s="1635"/>
      <c r="DI61" s="1635"/>
      <c r="DJ61" s="1635"/>
      <c r="DK61" s="1635"/>
      <c r="DL61" s="1635"/>
      <c r="DM61" s="1635"/>
      <c r="DN61" s="1635"/>
      <c r="DO61" s="1635"/>
      <c r="DP61" s="1635"/>
      <c r="DQ61" s="1635"/>
      <c r="DR61" s="1635"/>
      <c r="DS61" s="1635"/>
      <c r="DT61" s="1635"/>
      <c r="DU61" s="1635"/>
      <c r="EC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385"/>
      <c r="AM62" s="2385"/>
      <c r="AN62" s="2385"/>
      <c r="AO62" s="2385"/>
      <c r="AP62" s="2385"/>
      <c r="AQ62" s="2385"/>
      <c r="AR62" s="2385"/>
      <c r="AS62" s="2385"/>
      <c r="AT62" s="2385"/>
      <c r="AU62" s="2385"/>
      <c r="AV62" s="2385"/>
      <c r="AW62" s="2385"/>
      <c r="AX62" s="2385"/>
      <c r="AY62" s="2385"/>
      <c r="AZ62" s="2385"/>
      <c r="BA62" s="2385"/>
      <c r="BB62" s="2385"/>
      <c r="BC62" s="2385"/>
      <c r="BD62" s="2385"/>
      <c r="BE62" s="2385"/>
      <c r="BF62" s="2385"/>
      <c r="BG62" s="2385"/>
      <c r="BH62" s="2385"/>
      <c r="BI62" s="2385"/>
      <c r="BJ62" s="2385"/>
      <c r="BK62" s="2385"/>
      <c r="BL62" s="2385"/>
      <c r="BM62" s="2385"/>
      <c r="BN62" s="2385"/>
      <c r="BO62" s="2385"/>
      <c r="BP62" s="2385"/>
      <c r="BQ62" s="2385"/>
      <c r="BR62" s="2385"/>
      <c r="BS62" s="2385"/>
      <c r="BT62" s="2385"/>
      <c r="BU62" s="2385"/>
      <c r="BV62" s="2385"/>
      <c r="BW62" s="2385"/>
      <c r="BX62" s="2385"/>
      <c r="BY62" s="2385"/>
      <c r="BZ62" s="2385"/>
      <c r="CA62" s="2385"/>
      <c r="CB62" s="2385"/>
      <c r="CC62" s="2385"/>
      <c r="CD62" s="2385"/>
      <c r="CE62" s="2385"/>
      <c r="CF62" s="2385"/>
      <c r="CG62" s="2385"/>
      <c r="CH62" s="2385"/>
      <c r="CI62" s="2385"/>
      <c r="CJ62" s="2385"/>
      <c r="CK62" s="2385"/>
      <c r="CL62" s="2385"/>
      <c r="CM62" s="2385"/>
      <c r="CN62" s="2385"/>
      <c r="CO62" s="2385"/>
      <c r="CP62" s="2385"/>
      <c r="CQ62" s="2385"/>
      <c r="CR62" s="2385"/>
      <c r="CS62" s="2385"/>
      <c r="CT62" s="2385"/>
      <c r="CU62" s="2385"/>
      <c r="CV62" s="2385"/>
      <c r="CW62" s="2385"/>
      <c r="CX62" s="2385"/>
      <c r="CY62" s="2385"/>
      <c r="CZ62" s="2385"/>
      <c r="DA62" s="2385"/>
      <c r="DB62" s="2385"/>
      <c r="DC62" s="2385"/>
      <c r="DD62" s="2385"/>
      <c r="DE62" s="2385"/>
      <c r="DF62" s="2385"/>
      <c r="DG62" s="2385"/>
      <c r="DH62" s="2385"/>
      <c r="DI62" s="2385"/>
      <c r="DJ62" s="2385"/>
      <c r="DK62" s="2385"/>
      <c r="DL62" s="2385"/>
      <c r="DM62" s="2385"/>
      <c r="DN62" s="2385"/>
      <c r="DO62" s="2385"/>
      <c r="DP62" s="2385"/>
      <c r="DQ62" s="2385"/>
      <c r="DR62" s="2385"/>
      <c r="DS62" s="2385"/>
      <c r="DT62" s="2385"/>
      <c r="DU62" s="2385"/>
      <c r="DV62" s="2285"/>
      <c r="DW62" s="2285"/>
      <c r="EC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385"/>
      <c r="AM63" s="2385"/>
      <c r="AN63" s="2385"/>
      <c r="AO63" s="2385"/>
      <c r="AP63" s="2385"/>
      <c r="AQ63" s="2385"/>
      <c r="AR63" s="2385"/>
      <c r="AS63" s="2385"/>
      <c r="AT63" s="2385"/>
      <c r="AU63" s="2385"/>
      <c r="AV63" s="2385"/>
      <c r="AW63" s="2385"/>
      <c r="AX63" s="2385"/>
      <c r="AY63" s="2385"/>
      <c r="AZ63" s="2385"/>
      <c r="BA63" s="2385"/>
      <c r="BB63" s="2385"/>
      <c r="BC63" s="2385"/>
      <c r="BD63" s="2385"/>
      <c r="BE63" s="2385"/>
      <c r="BF63" s="2385"/>
      <c r="BG63" s="2385"/>
      <c r="BH63" s="2385"/>
      <c r="BI63" s="2385"/>
      <c r="BJ63" s="2385"/>
      <c r="BK63" s="2385"/>
      <c r="BL63" s="2385"/>
      <c r="BM63" s="2385"/>
      <c r="BN63" s="2385"/>
      <c r="BO63" s="2385"/>
      <c r="BP63" s="2385"/>
      <c r="BQ63" s="2385"/>
      <c r="BR63" s="2385"/>
      <c r="BS63" s="2385"/>
      <c r="BT63" s="2385"/>
      <c r="BU63" s="2385"/>
      <c r="BV63" s="2385"/>
      <c r="BW63" s="2385"/>
      <c r="BX63" s="2385"/>
      <c r="BY63" s="2385"/>
      <c r="BZ63" s="2385"/>
      <c r="CA63" s="2385"/>
      <c r="CB63" s="2385"/>
      <c r="CC63" s="2385"/>
      <c r="CD63" s="2385"/>
      <c r="CE63" s="2385"/>
      <c r="CF63" s="2385"/>
      <c r="CG63" s="2385"/>
      <c r="CH63" s="2385"/>
      <c r="CI63" s="2385"/>
      <c r="CJ63" s="2385"/>
      <c r="CK63" s="2385"/>
      <c r="CL63" s="2385"/>
      <c r="CM63" s="2385"/>
      <c r="CN63" s="2385"/>
      <c r="CO63" s="2385"/>
      <c r="CP63" s="2385"/>
      <c r="CQ63" s="2385"/>
      <c r="CR63" s="2385"/>
      <c r="CS63" s="2385"/>
      <c r="CT63" s="2385"/>
      <c r="CU63" s="2385"/>
      <c r="CV63" s="2385"/>
      <c r="CW63" s="2385"/>
      <c r="CX63" s="2385"/>
      <c r="CY63" s="2385"/>
      <c r="CZ63" s="2385"/>
      <c r="DA63" s="2385"/>
      <c r="DB63" s="2385"/>
      <c r="DC63" s="2385"/>
      <c r="DD63" s="2385"/>
      <c r="DE63" s="2385"/>
      <c r="DF63" s="2385"/>
      <c r="DG63" s="2385"/>
      <c r="DH63" s="2385"/>
      <c r="DI63" s="2385"/>
      <c r="DJ63" s="2385"/>
      <c r="DK63" s="2385"/>
      <c r="DL63" s="2385"/>
      <c r="DM63" s="2385"/>
      <c r="DN63" s="2385"/>
      <c r="DO63" s="2385"/>
      <c r="DP63" s="2385"/>
      <c r="DQ63" s="2385"/>
      <c r="DR63" s="2385"/>
      <c r="DS63" s="2385"/>
      <c r="DT63" s="2385"/>
      <c r="DU63" s="2385"/>
      <c r="DV63" s="2285"/>
      <c r="DW63" s="2285"/>
      <c r="EC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385"/>
      <c r="AM64" s="2385"/>
      <c r="AN64" s="2385"/>
      <c r="AO64" s="2385"/>
      <c r="AP64" s="2385"/>
      <c r="AQ64" s="2385"/>
      <c r="AR64" s="2385"/>
      <c r="AS64" s="2385"/>
      <c r="AT64" s="2385"/>
      <c r="AU64" s="2385"/>
      <c r="AV64" s="2385"/>
      <c r="AW64" s="2385"/>
      <c r="AX64" s="2385"/>
      <c r="AY64" s="2385"/>
      <c r="AZ64" s="2385"/>
      <c r="BA64" s="2385"/>
      <c r="BB64" s="2385"/>
      <c r="BC64" s="2385"/>
      <c r="BD64" s="2385"/>
      <c r="BE64" s="2385"/>
      <c r="BF64" s="2385"/>
      <c r="BG64" s="2385"/>
      <c r="BH64" s="2385"/>
      <c r="BI64" s="2385"/>
      <c r="BJ64" s="2385"/>
      <c r="BK64" s="2385"/>
      <c r="BL64" s="2385"/>
      <c r="BM64" s="2385"/>
      <c r="BN64" s="2385"/>
      <c r="BO64" s="2385"/>
      <c r="BP64" s="2385"/>
      <c r="BQ64" s="2385"/>
      <c r="BR64" s="2385"/>
      <c r="BS64" s="2385"/>
      <c r="BT64" s="2385"/>
      <c r="BU64" s="2385"/>
      <c r="BV64" s="2385"/>
      <c r="BW64" s="2385"/>
      <c r="BX64" s="2385"/>
      <c r="BY64" s="2385"/>
      <c r="BZ64" s="2385"/>
      <c r="CA64" s="2385"/>
      <c r="CB64" s="2385"/>
      <c r="CC64" s="2385"/>
      <c r="CD64" s="2385"/>
      <c r="CE64" s="2385"/>
      <c r="CF64" s="2385"/>
      <c r="CG64" s="2385"/>
      <c r="CH64" s="2385"/>
      <c r="CI64" s="2385"/>
      <c r="CJ64" s="2385"/>
      <c r="CK64" s="2385"/>
      <c r="CL64" s="2385"/>
      <c r="CM64" s="2385"/>
      <c r="CN64" s="2385"/>
      <c r="CO64" s="2385"/>
      <c r="CP64" s="2385"/>
      <c r="CQ64" s="2385"/>
      <c r="CR64" s="2385"/>
      <c r="CS64" s="2385"/>
      <c r="CT64" s="2385"/>
      <c r="CU64" s="2385"/>
      <c r="CV64" s="2385"/>
      <c r="CW64" s="2385"/>
      <c r="CX64" s="2385"/>
      <c r="CY64" s="2385"/>
      <c r="CZ64" s="2385"/>
      <c r="DA64" s="2385"/>
      <c r="DB64" s="2385"/>
      <c r="DC64" s="2385"/>
      <c r="DD64" s="2385"/>
      <c r="DE64" s="2385"/>
      <c r="DF64" s="2385"/>
      <c r="DG64" s="2385"/>
      <c r="DH64" s="2385"/>
      <c r="DI64" s="2385"/>
      <c r="DJ64" s="2385"/>
      <c r="DK64" s="2385"/>
      <c r="DL64" s="2385"/>
      <c r="DM64" s="2385"/>
      <c r="DN64" s="2385"/>
      <c r="DO64" s="2385"/>
      <c r="DP64" s="2385"/>
      <c r="DQ64" s="2385"/>
      <c r="DR64" s="2385"/>
      <c r="DS64" s="2385"/>
      <c r="DT64" s="2385"/>
      <c r="DU64" s="2385"/>
      <c r="DV64" s="2285"/>
      <c r="DW64" s="2285"/>
      <c r="EC64" s="1155">
        <v>28</v>
      </c>
    </row>
    <row customHeight="1" ht="22.5" hidden="1">
      <c r="A65" s="1160" t="s">
        <v>86</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635">
        <v>0</v>
      </c>
      <c r="AM65" s="1635">
        <v>0</v>
      </c>
      <c r="AN65" s="1635">
        <v>0</v>
      </c>
      <c r="AO65" s="1635">
        <v>0</v>
      </c>
      <c r="AP65" s="1635">
        <v>0</v>
      </c>
      <c r="AQ65" s="1635">
        <v>0</v>
      </c>
      <c r="AR65" s="1635">
        <v>0</v>
      </c>
      <c r="AS65" s="1635">
        <v>0</v>
      </c>
      <c r="AT65" s="1635">
        <v>0</v>
      </c>
      <c r="AU65" s="1635">
        <v>0</v>
      </c>
      <c r="AV65" s="1635">
        <v>0</v>
      </c>
      <c r="AW65" s="1635">
        <v>0</v>
      </c>
      <c r="AX65" s="1635">
        <v>0</v>
      </c>
      <c r="AY65" s="1635">
        <v>0</v>
      </c>
      <c r="AZ65" s="1635">
        <v>0</v>
      </c>
      <c r="BA65" s="1635">
        <v>0</v>
      </c>
      <c r="BB65" s="1635">
        <v>0</v>
      </c>
      <c r="BC65" s="1635">
        <v>0</v>
      </c>
      <c r="BD65" s="1635">
        <v>0</v>
      </c>
      <c r="BE65" s="1635">
        <v>0</v>
      </c>
      <c r="BF65" s="1635">
        <v>0</v>
      </c>
      <c r="BG65" s="1635">
        <v>0</v>
      </c>
      <c r="BH65" s="1635">
        <v>0</v>
      </c>
      <c r="BI65" s="1635">
        <v>0</v>
      </c>
      <c r="BJ65" s="1635">
        <v>0</v>
      </c>
      <c r="BK65" s="1635">
        <v>0</v>
      </c>
      <c r="BL65" s="1635">
        <v>0</v>
      </c>
      <c r="BM65" s="1635">
        <v>0</v>
      </c>
      <c r="BN65" s="1635">
        <v>0</v>
      </c>
      <c r="BO65" s="1635">
        <v>0</v>
      </c>
      <c r="BP65" s="1635">
        <v>0</v>
      </c>
      <c r="BQ65" s="1635">
        <v>0</v>
      </c>
      <c r="BR65" s="1635">
        <v>0</v>
      </c>
      <c r="BS65" s="1635">
        <v>0</v>
      </c>
      <c r="BT65" s="1635">
        <v>0</v>
      </c>
      <c r="BU65" s="1635">
        <v>0</v>
      </c>
      <c r="BV65" s="1635">
        <v>0</v>
      </c>
      <c r="BW65" s="1635">
        <v>0</v>
      </c>
      <c r="BX65" s="1635">
        <v>0</v>
      </c>
      <c r="BY65" s="1635">
        <v>0</v>
      </c>
      <c r="BZ65" s="1635">
        <v>0</v>
      </c>
      <c r="CA65" s="1635">
        <v>0</v>
      </c>
      <c r="CB65" s="1635">
        <v>0</v>
      </c>
      <c r="CC65" s="1635">
        <v>0</v>
      </c>
      <c r="CD65" s="1635">
        <v>0</v>
      </c>
      <c r="CE65" s="1635">
        <v>0</v>
      </c>
      <c r="CF65" s="1635">
        <v>0</v>
      </c>
      <c r="CG65" s="1635">
        <v>0</v>
      </c>
      <c r="CH65" s="1635">
        <v>0</v>
      </c>
      <c r="CI65" s="1635">
        <v>0</v>
      </c>
      <c r="CJ65" s="1635">
        <v>0</v>
      </c>
      <c r="CK65" s="1635">
        <v>0</v>
      </c>
      <c r="CL65" s="1635">
        <v>0</v>
      </c>
      <c r="CM65" s="1635">
        <v>0</v>
      </c>
      <c r="CN65" s="1635">
        <v>0</v>
      </c>
      <c r="CO65" s="1635">
        <v>0</v>
      </c>
      <c r="CP65" s="1635">
        <v>0</v>
      </c>
      <c r="CQ65" s="1635">
        <v>0</v>
      </c>
      <c r="CR65" s="1635">
        <v>0</v>
      </c>
      <c r="CS65" s="1635">
        <v>0</v>
      </c>
      <c r="CT65" s="1635">
        <v>0</v>
      </c>
      <c r="CU65" s="1635">
        <v>0</v>
      </c>
      <c r="CV65" s="1635">
        <v>0</v>
      </c>
      <c r="CW65" s="1635">
        <v>0</v>
      </c>
      <c r="CX65" s="1635">
        <v>0</v>
      </c>
      <c r="CY65" s="1635">
        <v>0</v>
      </c>
      <c r="CZ65" s="1635">
        <v>0</v>
      </c>
      <c r="DA65" s="1635">
        <v>0</v>
      </c>
      <c r="DB65" s="1635">
        <v>0</v>
      </c>
      <c r="DC65" s="1635">
        <v>0</v>
      </c>
      <c r="DD65" s="1635">
        <v>0</v>
      </c>
      <c r="DE65" s="1635">
        <v>0</v>
      </c>
      <c r="DF65" s="1635">
        <v>0</v>
      </c>
      <c r="DG65" s="1635">
        <v>0</v>
      </c>
      <c r="DH65" s="1635">
        <v>0</v>
      </c>
      <c r="DI65" s="1635">
        <v>0</v>
      </c>
      <c r="DJ65" s="1635">
        <v>0</v>
      </c>
      <c r="DK65" s="1635">
        <v>0</v>
      </c>
      <c r="DL65" s="1635">
        <v>0</v>
      </c>
      <c r="DM65" s="1635">
        <v>0</v>
      </c>
      <c r="DN65" s="1635">
        <v>0</v>
      </c>
      <c r="DO65" s="1635">
        <v>0</v>
      </c>
      <c r="DP65" s="1635">
        <v>0</v>
      </c>
      <c r="DQ65" s="1635">
        <v>0</v>
      </c>
      <c r="DR65" s="1635">
        <v>0</v>
      </c>
      <c r="DS65" s="1635">
        <v>0</v>
      </c>
      <c r="DT65" s="1635">
        <v>0</v>
      </c>
      <c r="DU65" s="1635">
        <v>0</v>
      </c>
      <c r="DV65" s="1155">
        <v>4</v>
      </c>
      <c r="DW65" s="1155">
        <v>115</v>
      </c>
      <c r="DX65" s="511">
        <v>10</v>
      </c>
      <c r="DY65" s="511">
        <v>10</v>
      </c>
      <c r="DZ65" s="511">
        <v>10</v>
      </c>
      <c r="EA65" s="511">
        <v>10</v>
      </c>
      <c r="EB65" s="511">
        <v>10</v>
      </c>
      <c r="EC65" s="1155">
        <v>23</v>
      </c>
    </row>
  </sheetData>
  <sheetProtection formatColumns="0" formatRows="0" autoFilter="0" sort="0" insertRows="0" insertColumns="1" deleteRows="0" deleteColumns="0"/>
  <mergeCells count="365">
    <mergeCell ref="T63:DW63"/>
    <mergeCell ref="T64:DW64"/>
    <mergeCell ref="T62:DW62"/>
    <mergeCell ref="DW49:DW51"/>
    <mergeCell ref="T59:DW59"/>
    <mergeCell ref="T60:DW60"/>
    <mergeCell ref="J48:J51"/>
    <mergeCell ref="Q48:Q51"/>
    <mergeCell ref="V48:AC48"/>
    <mergeCell ref="AD48:DV48"/>
    <mergeCell ref="K49:K50"/>
    <mergeCell ref="AH49:AH50"/>
    <mergeCell ref="AI49:AI50"/>
    <mergeCell ref="AJ49:AJ50"/>
    <mergeCell ref="AK49:AK50"/>
    <mergeCell ref="E43:E56"/>
    <mergeCell ref="V43:AC43"/>
    <mergeCell ref="AD43:DV43"/>
    <mergeCell ref="F44:F55"/>
    <mergeCell ref="V44:AC44"/>
    <mergeCell ref="AD44:DV44"/>
    <mergeCell ref="G45:G54"/>
    <mergeCell ref="V45:AC45"/>
    <mergeCell ref="AD45:DV45"/>
    <mergeCell ref="H46:H53"/>
    <mergeCell ref="V46:AC46"/>
    <mergeCell ref="AD46:DV46"/>
    <mergeCell ref="I47:I52"/>
    <mergeCell ref="P47:P52"/>
    <mergeCell ref="V47:AC47"/>
    <mergeCell ref="AD47:DV47"/>
    <mergeCell ref="AH40:AJ40"/>
    <mergeCell ref="AA41:AB41"/>
    <mergeCell ref="AI41:AJ41"/>
    <mergeCell ref="AA42:AB42"/>
    <mergeCell ref="AI42:AJ42"/>
    <mergeCell ref="S38:DV38"/>
    <mergeCell ref="DW38:DW41"/>
    <mergeCell ref="S39:S41"/>
    <mergeCell ref="T39:T41"/>
    <mergeCell ref="V39:AB39"/>
    <mergeCell ref="AC39:AC41"/>
    <mergeCell ref="AD39:AJ39"/>
    <mergeCell ref="AK39:AK41"/>
    <mergeCell ref="DV39:DV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DW8:DW10"/>
    <mergeCell ref="AH17:AH18"/>
    <mergeCell ref="AI17:AI18"/>
    <mergeCell ref="AJ17:AJ18"/>
    <mergeCell ref="AK17:AK18"/>
    <mergeCell ref="AH8:AH9"/>
    <mergeCell ref="AI8:AI9"/>
    <mergeCell ref="AJ8:AJ9"/>
    <mergeCell ref="AK8:AK9"/>
    <mergeCell ref="V7:AC7"/>
    <mergeCell ref="AD7:DV7"/>
    <mergeCell ref="V2:AC2"/>
    <mergeCell ref="AD2:DV2"/>
    <mergeCell ref="V3:AC3"/>
    <mergeCell ref="AD3:DV3"/>
    <mergeCell ref="V4:AC4"/>
    <mergeCell ref="AD4:DV4"/>
    <mergeCell ref="V5:AC5"/>
    <mergeCell ref="AD5:DV5"/>
    <mergeCell ref="V6:AC6"/>
    <mergeCell ref="AD6:DV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X8:AX9"/>
    <mergeCell ref="AY8:AY9"/>
    <mergeCell ref="AZ8:AZ9"/>
    <mergeCell ref="BA8:BA9"/>
    <mergeCell ref="AT29:AZ29"/>
    <mergeCell ref="AT30:AZ30"/>
    <mergeCell ref="AT31:AZ31"/>
    <mergeCell ref="AT32:AZ32"/>
    <mergeCell ref="AT34:AZ34"/>
    <mergeCell ref="AT35:AZ35"/>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BF8:BF9"/>
    <mergeCell ref="BG8:BG9"/>
    <mergeCell ref="BH8:BH9"/>
    <mergeCell ref="BI8:BI9"/>
    <mergeCell ref="BB29:BH29"/>
    <mergeCell ref="BB30:BH30"/>
    <mergeCell ref="BB31:BH31"/>
    <mergeCell ref="BB32:BH32"/>
    <mergeCell ref="BB34:BH34"/>
    <mergeCell ref="BB35:BH35"/>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BN8:BN9"/>
    <mergeCell ref="BO8:BO9"/>
    <mergeCell ref="BP8:BP9"/>
    <mergeCell ref="BQ8:BQ9"/>
    <mergeCell ref="BJ29:BP29"/>
    <mergeCell ref="BJ30:BP30"/>
    <mergeCell ref="BJ31:BP31"/>
    <mergeCell ref="BJ32:BP32"/>
    <mergeCell ref="BJ34:BP34"/>
    <mergeCell ref="BJ35:BP35"/>
    <mergeCell ref="BJ37:BQ37"/>
    <mergeCell ref="BJ39:BP39"/>
    <mergeCell ref="BQ39:BQ41"/>
    <mergeCell ref="BJ40:BJ41"/>
    <mergeCell ref="BK40:BK41"/>
    <mergeCell ref="BL40:BM40"/>
    <mergeCell ref="BN40:BP40"/>
    <mergeCell ref="BO41:BP41"/>
    <mergeCell ref="BO42:BP42"/>
    <mergeCell ref="BN49:BN50"/>
    <mergeCell ref="BO49:BO50"/>
    <mergeCell ref="BP49:BP50"/>
    <mergeCell ref="BQ49:BQ50"/>
    <mergeCell ref="BV8:BV9"/>
    <mergeCell ref="BW8:BW9"/>
    <mergeCell ref="BX8:BX9"/>
    <mergeCell ref="BY8:BY9"/>
    <mergeCell ref="BR29:BX29"/>
    <mergeCell ref="BR30:BX30"/>
    <mergeCell ref="BR31:BX31"/>
    <mergeCell ref="BR32:BX32"/>
    <mergeCell ref="BR34:BX34"/>
    <mergeCell ref="BR35:BX35"/>
    <mergeCell ref="BR37:BY37"/>
    <mergeCell ref="BR39:BX39"/>
    <mergeCell ref="BY39:BY41"/>
    <mergeCell ref="BR40:BR41"/>
    <mergeCell ref="BS40:BS41"/>
    <mergeCell ref="BT40:BU40"/>
    <mergeCell ref="BV40:BX40"/>
    <mergeCell ref="BW41:BX41"/>
    <mergeCell ref="BW42:BX42"/>
    <mergeCell ref="BV49:BV50"/>
    <mergeCell ref="BW49:BW50"/>
    <mergeCell ref="BX49:BX50"/>
    <mergeCell ref="BY49:BY50"/>
    <mergeCell ref="CD8:CD9"/>
    <mergeCell ref="CE8:CE9"/>
    <mergeCell ref="CF8:CF9"/>
    <mergeCell ref="CG8:CG9"/>
    <mergeCell ref="BZ29:CF29"/>
    <mergeCell ref="BZ30:CF30"/>
    <mergeCell ref="BZ31:CF31"/>
    <mergeCell ref="BZ32:CF32"/>
    <mergeCell ref="BZ34:CF34"/>
    <mergeCell ref="BZ35:CF35"/>
    <mergeCell ref="BZ37:CG37"/>
    <mergeCell ref="BZ39:CF39"/>
    <mergeCell ref="CG39:CG41"/>
    <mergeCell ref="BZ40:BZ41"/>
    <mergeCell ref="CA40:CA41"/>
    <mergeCell ref="CB40:CC40"/>
    <mergeCell ref="CD40:CF40"/>
    <mergeCell ref="CE41:CF41"/>
    <mergeCell ref="CE42:CF42"/>
    <mergeCell ref="CD49:CD50"/>
    <mergeCell ref="CE49:CE50"/>
    <mergeCell ref="CF49:CF50"/>
    <mergeCell ref="CG49:CG50"/>
    <mergeCell ref="CL8:CL9"/>
    <mergeCell ref="CM8:CM9"/>
    <mergeCell ref="CN8:CN9"/>
    <mergeCell ref="CO8:CO9"/>
    <mergeCell ref="CH29:CN29"/>
    <mergeCell ref="CH30:CN30"/>
    <mergeCell ref="CH31:CN31"/>
    <mergeCell ref="CH32:CN32"/>
    <mergeCell ref="CH34:CN34"/>
    <mergeCell ref="CH35:CN35"/>
    <mergeCell ref="CH37:CO37"/>
    <mergeCell ref="CH39:CN39"/>
    <mergeCell ref="CO39:CO41"/>
    <mergeCell ref="CH40:CH41"/>
    <mergeCell ref="CI40:CI41"/>
    <mergeCell ref="CJ40:CK40"/>
    <mergeCell ref="CL40:CN40"/>
    <mergeCell ref="CM41:CN41"/>
    <mergeCell ref="CM42:CN42"/>
    <mergeCell ref="CL49:CL50"/>
    <mergeCell ref="CM49:CM50"/>
    <mergeCell ref="CN49:CN50"/>
    <mergeCell ref="CO49:CO50"/>
    <mergeCell ref="CT8:CT9"/>
    <mergeCell ref="CU8:CU9"/>
    <mergeCell ref="CV8:CV9"/>
    <mergeCell ref="CW8:CW9"/>
    <mergeCell ref="CP29:CV29"/>
    <mergeCell ref="CP30:CV30"/>
    <mergeCell ref="CP31:CV31"/>
    <mergeCell ref="CP32:CV32"/>
    <mergeCell ref="CP34:CV34"/>
    <mergeCell ref="CP35:CV35"/>
    <mergeCell ref="CP37:CW37"/>
    <mergeCell ref="CP39:CV39"/>
    <mergeCell ref="CW39:CW41"/>
    <mergeCell ref="CP40:CP41"/>
    <mergeCell ref="CQ40:CQ41"/>
    <mergeCell ref="CR40:CS40"/>
    <mergeCell ref="CT40:CV40"/>
    <mergeCell ref="CU41:CV41"/>
    <mergeCell ref="CU42:CV42"/>
    <mergeCell ref="CT49:CT50"/>
    <mergeCell ref="CU49:CU50"/>
    <mergeCell ref="CV49:CV50"/>
    <mergeCell ref="CW49:CW50"/>
    <mergeCell ref="DB8:DB9"/>
    <mergeCell ref="DC8:DC9"/>
    <mergeCell ref="DD8:DD9"/>
    <mergeCell ref="DE8:DE9"/>
    <mergeCell ref="CX29:DD29"/>
    <mergeCell ref="CX30:DD30"/>
    <mergeCell ref="CX31:DD31"/>
    <mergeCell ref="CX32:DD32"/>
    <mergeCell ref="CX34:DD34"/>
    <mergeCell ref="CX35:DD35"/>
    <mergeCell ref="CX37:DE37"/>
    <mergeCell ref="CX39:DD39"/>
    <mergeCell ref="DE39:DE41"/>
    <mergeCell ref="CX40:CX41"/>
    <mergeCell ref="CY40:CY41"/>
    <mergeCell ref="CZ40:DA40"/>
    <mergeCell ref="DB40:DD40"/>
    <mergeCell ref="DC41:DD41"/>
    <mergeCell ref="DC42:DD42"/>
    <mergeCell ref="DB49:DB50"/>
    <mergeCell ref="DC49:DC50"/>
    <mergeCell ref="DD49:DD50"/>
    <mergeCell ref="DE49:DE50"/>
    <mergeCell ref="DJ8:DJ9"/>
    <mergeCell ref="DK8:DK9"/>
    <mergeCell ref="DL8:DL9"/>
    <mergeCell ref="DM8:DM9"/>
    <mergeCell ref="DF29:DL29"/>
    <mergeCell ref="DF30:DL30"/>
    <mergeCell ref="DF31:DL31"/>
    <mergeCell ref="DF32:DL32"/>
    <mergeCell ref="DF34:DL34"/>
    <mergeCell ref="DF35:DL35"/>
    <mergeCell ref="DF37:DM37"/>
    <mergeCell ref="DF39:DL39"/>
    <mergeCell ref="DM39:DM41"/>
    <mergeCell ref="DF40:DF41"/>
    <mergeCell ref="DG40:DG41"/>
    <mergeCell ref="DH40:DI40"/>
    <mergeCell ref="DJ40:DL40"/>
    <mergeCell ref="DK41:DL41"/>
    <mergeCell ref="DK42:DL42"/>
    <mergeCell ref="DR8:DR9"/>
    <mergeCell ref="DS8:DS9"/>
    <mergeCell ref="DT8:DT9"/>
    <mergeCell ref="DU8:DU9"/>
    <mergeCell ref="DN29:DT29"/>
    <mergeCell ref="DN30:DT30"/>
    <mergeCell ref="DN31:DT31"/>
    <mergeCell ref="DN32:DT32"/>
    <mergeCell ref="DN34:DT34"/>
    <mergeCell ref="DN35:DT35"/>
    <mergeCell ref="DN37:DU37"/>
    <mergeCell ref="DN39:DT39"/>
    <mergeCell ref="DU39:DU41"/>
    <mergeCell ref="DN40:DN41"/>
    <mergeCell ref="DO40:DO41"/>
    <mergeCell ref="DP40:DQ40"/>
    <mergeCell ref="DR40:DT40"/>
    <mergeCell ref="DS41:DT41"/>
    <mergeCell ref="DS42:DT42"/>
    <mergeCell ref="DJ49:DJ50"/>
    <mergeCell ref="DK49:DK50"/>
    <mergeCell ref="DL49:DL50"/>
    <mergeCell ref="DM49:DM50"/>
    <mergeCell ref="DR49:DR50"/>
    <mergeCell ref="DS49:DS50"/>
    <mergeCell ref="DT49:DT50"/>
    <mergeCell ref="DU49:DU50"/>
    <mergeCell ref="Z49:Z50"/>
    <mergeCell ref="AA49:AA50"/>
    <mergeCell ref="AB49:AB50"/>
    <mergeCell ref="AC49:AC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O9 AO50 AW9 AW50 BE9 BE50 BM9 BM50 BU9 BU50 CC9 CC50 CK9 CK50 CS9 CS50 DA9 DA50 DI9 DI50 DQ9 DQ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DU327729 AK393265:DU393265 AK49 AQ49 AS49 AY49 BA49 BG49 BI49 BO49 BQ49 BW49 BY49 CE49 CG49 CM49 CO49 CU49 CW49 DC49 DE49 DK49 DM49 DS49 DU49 AK524337:DU524337 AK8 AQ8 AS8 AY8 BA8 BG8 BI8 BO8 BQ8 BW8 BY8 CE8 CG8 CM8 CO8 CU8 CW8 DC8 DE8 DK8 DM8 DS8 DU8 AK589873:DU589873 AK655409:DU655409 AK17 AK720945:DU720945 AK786481:DU786481 AK852017:DU852017 AK917553:DU917553 AK983089:DU983089 AK65585:DU65585 AK131121:DU131121 AI49 AK458801:DU458801 AI8 AC8 AA8 AI17 AK196657:DU196657 AA49 AC49 AK262193:DU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AX8 AZ8 AX49 AZ49 BF8 BH8 BF49 BH49 BN8 BP8 BN49 BP49 BV8 BX8 BV49 BX49 CD8 CF8 CD49 CF49 CL8 CN8 CL49 CN49 CT8 CV8 CT49 CV49 DB8 DD8 DB49 DD49 DJ8 DL8 DJ49 DL49 DR8 DT8 DR49 DT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DW65579:DW65586 DW131115:DW131122 DW196651:DW196658 DW262187:DW262194 DW327723:DW327730 DW393259:DW393266 DW458795:DW458802 DW524331:DW524338 DW589867:DW589874 DW655403:DW655410 DW720939:DW720946 DW786475:DW786482 DW852011:DW852018 DW917547:DW917554 DW983083:DW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DW131129 S196659:DW196665 S262195:DW262201 S327731:DW327737 S393267:DW393273 S458803:DW458809 S524339:DW524345 S589875:DW589881 S655411:DW655417 S720947:DW720953 S786483:DW786489 S852019:DW852025 S917555:DW917561 S983091:DW983097 S65587:DW65593"/>
    <dataValidation type="list" allowBlank="1" showInputMessage="1" errorTitle="Ошибка" error="Выберите значение из списка" prompt="Выберите значение из списка" sqref="V983088:DV983088 V65584:DV65584 V131120:DV131120 V196656:DV196656 V262192:DV262192 V327728:DV327728 V393264:DV393264 V458800:DV458800 V524336:DV524336 V589872:DV589872 V655408:DV655408 V720944:DV720944 V786480:DV786480 V852016:DV852016 V917552:DV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CCBB58-0C7E-FA58-917C-2381AC4EBCE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127</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404</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406</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408</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410</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411</v>
      </c>
      <c r="M6" s="1635"/>
      <c r="P6" s="2257">
        <v>1</v>
      </c>
      <c r="Q6" s="1954"/>
      <c r="R6" s="356"/>
      <c r="S6" s="1958">
        <f>$I6</f>
      </c>
      <c r="T6" s="285" t="s">
        <v>412</v>
      </c>
      <c r="U6" s="300"/>
      <c r="V6" s="2245"/>
      <c r="W6" s="2246"/>
      <c r="X6" s="2246"/>
      <c r="Y6" s="2246"/>
      <c r="Z6" s="2246"/>
      <c r="AA6" s="2246"/>
      <c r="AB6" s="2246"/>
      <c r="AC6" s="2247"/>
      <c r="AD6" s="2245"/>
      <c r="AE6" s="2246"/>
      <c r="AF6" s="2246"/>
      <c r="AG6" s="2246"/>
      <c r="AH6" s="2246"/>
      <c r="AI6" s="2246"/>
      <c r="AJ6" s="2246"/>
      <c r="AK6" s="2246"/>
      <c r="AL6" s="2247"/>
      <c r="AM6" s="1258" t="s">
        <v>413</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414</v>
      </c>
      <c r="M7" s="1635"/>
      <c r="N7" s="1631"/>
      <c r="P7" s="2257"/>
      <c r="Q7" s="2257">
        <v>1</v>
      </c>
      <c r="R7" s="357"/>
      <c r="S7" s="1958">
        <f>$J7</f>
      </c>
      <c r="T7" s="286" t="s">
        <v>415</v>
      </c>
      <c r="U7" s="300"/>
      <c r="V7" s="2245"/>
      <c r="W7" s="2246"/>
      <c r="X7" s="2246"/>
      <c r="Y7" s="2246"/>
      <c r="Z7" s="2246"/>
      <c r="AA7" s="2246"/>
      <c r="AB7" s="2246"/>
      <c r="AC7" s="2247"/>
      <c r="AD7" s="2245"/>
      <c r="AE7" s="2246"/>
      <c r="AF7" s="2246"/>
      <c r="AG7" s="2246"/>
      <c r="AH7" s="2246"/>
      <c r="AI7" s="2246"/>
      <c r="AJ7" s="2246"/>
      <c r="AK7" s="2246"/>
      <c r="AL7" s="2247"/>
      <c r="AM7" s="1258" t="s">
        <v>416</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417</v>
      </c>
      <c r="M8" s="1635"/>
      <c r="N8" s="1631"/>
      <c r="O8" s="1631"/>
      <c r="P8" s="2257"/>
      <c r="Q8" s="2257"/>
      <c r="R8" s="357">
        <v>1</v>
      </c>
      <c r="S8" s="1958">
        <f>$K8</f>
      </c>
      <c r="T8" s="1347"/>
      <c r="U8" s="300"/>
      <c r="V8" s="751"/>
      <c r="W8" s="325"/>
      <c r="X8" s="751"/>
      <c r="Y8" s="1257"/>
      <c r="Z8" s="2265"/>
      <c r="AA8" s="2107" t="s">
        <v>70</v>
      </c>
      <c r="AB8" s="2265"/>
      <c r="AC8" s="2107" t="s">
        <v>70</v>
      </c>
      <c r="AD8" s="751"/>
      <c r="AE8" s="325"/>
      <c r="AF8" s="751"/>
      <c r="AG8" s="1257"/>
      <c r="AH8" s="2265"/>
      <c r="AI8" s="2107" t="s">
        <v>70</v>
      </c>
      <c r="AJ8" s="2265"/>
      <c r="AK8" s="2107" t="s">
        <v>70</v>
      </c>
      <c r="AL8" s="325"/>
      <c r="AM8" s="2253" t="s">
        <v>418</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419</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420</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421</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172</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173</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174</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70</v>
      </c>
      <c r="AJ17" s="2267"/>
      <c r="AK17" s="2268" t="s">
        <v>70</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422</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423</v>
      </c>
      <c r="P22" s="1362"/>
      <c r="Q22" s="1371"/>
      <c r="R22" s="1371"/>
      <c r="S22" s="729"/>
      <c r="T22" s="1366" t="s">
        <v>424</v>
      </c>
      <c r="AA22" s="595" t="s">
        <v>425</v>
      </c>
      <c r="AC22" s="595" t="s">
        <v>426</v>
      </c>
      <c r="AD22" s="1366" t="s">
        <v>424</v>
      </c>
      <c r="AI22" s="595" t="s">
        <v>427</v>
      </c>
      <c r="AK22" s="595" t="s">
        <v>426</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ООО "Энерго-Сервис"</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Комитет по тарифам и ценам Курской области</v>
      </c>
      <c r="W29" s="2251"/>
      <c r="X29" s="2251"/>
      <c r="Y29" s="2251"/>
      <c r="Z29" s="2251"/>
      <c r="AA29" s="2251"/>
      <c r="AB29" s="2251"/>
      <c r="AC29" s="1635"/>
      <c r="AD29" s="2251" t="str">
        <f>IF(TITLE_NAME_OR_PR_CHANGE="",IF(TITLE_NAME_OR_PR="","",TITLE_NAME_OR_PR),TITLE_NAME_OR_PR_CHANGE)</f>
        <v>Комитет по тарифам и ценам Курской области</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428</v>
      </c>
      <c r="T30" s="2250"/>
      <c r="U30" s="1372"/>
      <c r="V30" s="2264" t="str">
        <f>IF(TITLE_DATE_PR_CHANGE="",IF(TITLE_DATE_PR="","",TITLE_DATE_PR),TITLE_DATE_PR_CHANGE)</f>
        <v>46010</v>
      </c>
      <c r="W30" s="2264"/>
      <c r="X30" s="2264"/>
      <c r="Y30" s="2264"/>
      <c r="Z30" s="2264"/>
      <c r="AA30" s="2264"/>
      <c r="AB30" s="2264"/>
      <c r="AC30" s="1635"/>
      <c r="AD30" s="2264" t="str">
        <f>IF(TITLE_DATE_PR_CHANGE="",IF(TITLE_DATE_PR="","",TITLE_DATE_PR),TITLE_DATE_PR_CHANGE)</f>
        <v>46010</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429</v>
      </c>
      <c r="T31" s="2250"/>
      <c r="U31" s="1372"/>
      <c r="V31" s="2251" t="str">
        <f>IF(TITLE_NUMBER_PR_CHANGE="",IF(TITLE_NUMBER_PR="","",TITLE_NUMBER_PR),TITLE_NUMBER_PR_CHANGE)</f>
        <v>66</v>
      </c>
      <c r="W31" s="2251"/>
      <c r="X31" s="2251"/>
      <c r="Y31" s="2251"/>
      <c r="Z31" s="2251"/>
      <c r="AA31" s="2251"/>
      <c r="AB31" s="2251"/>
      <c r="AC31" s="1635"/>
      <c r="AD31" s="2251" t="str">
        <f>IF(TITLE_NUMBER_PR_CHANGE="",IF(TITLE_NUMBER_PR="","",TITLE_NUMBER_PR),TITLE_NUMBER_PR_CHANGE)</f>
        <v>66</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44</v>
      </c>
      <c r="T32" s="2250"/>
      <c r="U32" s="1372"/>
      <c r="V32" s="2251" t="str">
        <f>IF(TITLE_IST_PUB_CHANGE="",IF(TITLE_IST_PUB="","",TITLE_IST_PUB),TITLE_IST_PUB_CHANGE)</f>
        <v>https://kurskpravo.ru/accepted-npa-prewev/2528</v>
      </c>
      <c r="W32" s="2251"/>
      <c r="X32" s="2251"/>
      <c r="Y32" s="2251"/>
      <c r="Z32" s="2251"/>
      <c r="AA32" s="2251"/>
      <c r="AB32" s="2251"/>
      <c r="AC32" s="1635"/>
      <c r="AD32" s="2251" t="str">
        <f>IF(TITLE_IST_PUB_CHANGE="",IF(TITLE_IST_PUB="","",TITLE_IST_PUB),TITLE_IST_PUB_CHANGE)</f>
        <v>https://kurskpravo.ru/accepted-npa-prewev/2528</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430</v>
      </c>
      <c r="T34" s="2250"/>
      <c r="U34" s="1372"/>
      <c r="V34" s="2264" t="str">
        <f>IF(TITLE_DATE_PR_CHANGE="",IF(TITLE_DATE_PR="","",TITLE_DATE_PR),TITLE_DATE_PR_CHANGE)</f>
        <v>46010</v>
      </c>
      <c r="W34" s="2264"/>
      <c r="X34" s="2264"/>
      <c r="Y34" s="2264"/>
      <c r="Z34" s="2264"/>
      <c r="AA34" s="2264"/>
      <c r="AB34" s="2264"/>
      <c r="AC34" s="1635"/>
      <c r="AD34" s="2264" t="str">
        <f>IF(TITLE_DATE_PR_CHANGE="",IF(TITLE_DATE_PR="","",TITLE_DATE_PR),TITLE_DATE_PR_CHANGE)</f>
        <v>46010</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431</v>
      </c>
      <c r="T35" s="2250"/>
      <c r="U35" s="1372"/>
      <c r="V35" s="2251" t="str">
        <f>IF(TITLE_NUMBER_PR_CHANGE="",IF(TITLE_NUMBER_PR="","",TITLE_NUMBER_PR),TITLE_NUMBER_PR_CHANGE)</f>
        <v>66</v>
      </c>
      <c r="W35" s="2251"/>
      <c r="X35" s="2251"/>
      <c r="Y35" s="2251"/>
      <c r="Z35" s="2251"/>
      <c r="AA35" s="2251"/>
      <c r="AB35" s="2251"/>
      <c r="AC35" s="1635"/>
      <c r="AD35" s="2251" t="str">
        <f>IF(TITLE_NUMBER_PR_CHANGE="",IF(TITLE_NUMBER_PR="","",TITLE_NUMBER_PR),TITLE_NUMBER_PR_CHANGE)</f>
        <v>66</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432</v>
      </c>
      <c r="AD36" s="1635"/>
      <c r="AE36" s="1635"/>
      <c r="AF36" s="1635"/>
      <c r="AG36" s="1635"/>
      <c r="AH36" s="1635"/>
      <c r="AI36" s="1635"/>
      <c r="AJ36" s="1635"/>
      <c r="AK36" s="1642" t="s">
        <v>432</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309</v>
      </c>
      <c r="AS38" s="1631">
        <v>14</v>
      </c>
    </row>
    <row customHeight="1" ht="14.699999999999998">
      <c r="Q39" s="376"/>
      <c r="R39" s="376"/>
      <c r="S39" s="2273" t="s">
        <v>92</v>
      </c>
      <c r="T39" s="2209" t="s">
        <v>433</v>
      </c>
      <c r="U39" s="337"/>
      <c r="V39" s="2274" t="s">
        <v>434</v>
      </c>
      <c r="W39" s="2275"/>
      <c r="X39" s="2275"/>
      <c r="Y39" s="2275"/>
      <c r="Z39" s="2275"/>
      <c r="AA39" s="2275"/>
      <c r="AB39" s="2276"/>
      <c r="AC39" s="2277" t="s">
        <v>435</v>
      </c>
      <c r="AD39" s="2274" t="s">
        <v>434</v>
      </c>
      <c r="AE39" s="2275"/>
      <c r="AF39" s="2275"/>
      <c r="AG39" s="2275"/>
      <c r="AH39" s="2275"/>
      <c r="AI39" s="2275"/>
      <c r="AJ39" s="2276"/>
      <c r="AK39" s="2277" t="s">
        <v>436</v>
      </c>
      <c r="AL39" s="2280" t="s">
        <v>437</v>
      </c>
      <c r="AM39" s="2127"/>
      <c r="AS39" s="1631">
        <v>14</v>
      </c>
    </row>
    <row customHeight="1" ht="35.699999999999996">
      <c r="Q40" s="376"/>
      <c r="R40" s="376"/>
      <c r="S40" s="2273"/>
      <c r="T40" s="2209"/>
      <c r="U40" s="1031"/>
      <c r="V40" s="2260" t="s">
        <v>438</v>
      </c>
      <c r="W40" s="2283" t="s">
        <v>439</v>
      </c>
      <c r="X40" s="2262" t="s">
        <v>440</v>
      </c>
      <c r="Y40" s="2263"/>
      <c r="Z40" s="2262" t="s">
        <v>454</v>
      </c>
      <c r="AA40" s="2269"/>
      <c r="AB40" s="2263"/>
      <c r="AC40" s="2278"/>
      <c r="AD40" s="2260" t="s">
        <v>438</v>
      </c>
      <c r="AE40" s="2283" t="s">
        <v>439</v>
      </c>
      <c r="AF40" s="2262" t="s">
        <v>440</v>
      </c>
      <c r="AG40" s="2263"/>
      <c r="AH40" s="2262" t="s">
        <v>441</v>
      </c>
      <c r="AI40" s="2269"/>
      <c r="AJ40" s="2263"/>
      <c r="AK40" s="2278"/>
      <c r="AL40" s="2281"/>
      <c r="AM40" s="2127"/>
      <c r="AS40" s="1631">
        <v>34</v>
      </c>
    </row>
    <row customHeight="1" ht="35.699999999999996">
      <c r="A41" s="1266"/>
      <c r="B41" s="1266" t="s">
        <v>139</v>
      </c>
      <c r="C41" s="1266" t="s">
        <v>140</v>
      </c>
      <c r="D41" s="1266" t="s">
        <v>141</v>
      </c>
      <c r="E41" s="1310" t="s">
        <v>442</v>
      </c>
      <c r="F41" s="1310" t="s">
        <v>443</v>
      </c>
      <c r="G41" s="1310" t="s">
        <v>444</v>
      </c>
      <c r="H41" s="1310" t="s">
        <v>445</v>
      </c>
      <c r="I41" s="1310" t="s">
        <v>446</v>
      </c>
      <c r="J41" s="1310" t="s">
        <v>447</v>
      </c>
      <c r="K41" s="1310" t="s">
        <v>448</v>
      </c>
      <c r="L41" s="1310" t="s">
        <v>423</v>
      </c>
      <c r="Q41" s="376"/>
      <c r="R41" s="376"/>
      <c r="S41" s="2273"/>
      <c r="T41" s="2209"/>
      <c r="U41" s="302"/>
      <c r="V41" s="2261"/>
      <c r="W41" s="2284"/>
      <c r="X41" s="1938" t="s">
        <v>449</v>
      </c>
      <c r="Y41" s="1938" t="s">
        <v>450</v>
      </c>
      <c r="Z41" s="1938" t="s">
        <v>451</v>
      </c>
      <c r="AA41" s="2270" t="s">
        <v>452</v>
      </c>
      <c r="AB41" s="2271"/>
      <c r="AC41" s="2279"/>
      <c r="AD41" s="2261"/>
      <c r="AE41" s="2284"/>
      <c r="AF41" s="1938" t="s">
        <v>449</v>
      </c>
      <c r="AG41" s="1938" t="s">
        <v>450</v>
      </c>
      <c r="AH41" s="1938" t="s">
        <v>451</v>
      </c>
      <c r="AI41" s="2270" t="s">
        <v>452</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113</v>
      </c>
      <c r="T42" s="1255" t="s">
        <v>114</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220</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127</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4"/>
      <c r="AP43" s="1624" t="str">
        <f>IF(T43="","",T43)</f>
        <v>Наименование тарифа</v>
      </c>
      <c r="AQ43" s="1624"/>
      <c r="AR43" s="1624"/>
      <c r="AS43" s="1631">
        <v>21</v>
      </c>
    </row>
    <row customHeight="1" ht="22.049999999999997">
      <c r="A44" s="1267" t="s">
        <v>220</v>
      </c>
      <c r="B44" s="1267" t="s">
        <v>221</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406</v>
      </c>
      <c r="AO44" s="1624"/>
      <c r="AP44" s="1624" t="str">
        <f>IF(T44="","",T44)</f>
        <v>Территория действия тарифа</v>
      </c>
      <c r="AQ44" s="1624"/>
      <c r="AR44" s="1624"/>
      <c r="AS44" s="1631">
        <v>21</v>
      </c>
    </row>
    <row customHeight="1" ht="24">
      <c r="A45" s="1267" t="s">
        <v>220</v>
      </c>
      <c r="B45" s="1267" t="s">
        <v>221</v>
      </c>
      <c r="C45" s="1267" t="s">
        <v>222</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408</v>
      </c>
      <c r="AO45" s="1624"/>
      <c r="AP45" s="1624" t="str">
        <f>IF(T45="","",T45)</f>
        <v>Наименование системы теплоснабжения </v>
      </c>
      <c r="AQ45" s="1624"/>
      <c r="AR45" s="1624"/>
      <c r="AS45" s="1631">
        <v>23</v>
      </c>
    </row>
    <row customHeight="1" ht="22.049999999999997">
      <c r="A46" s="1267" t="s">
        <v>220</v>
      </c>
      <c r="B46" s="1267" t="s">
        <v>221</v>
      </c>
      <c r="C46" s="1267" t="s">
        <v>222</v>
      </c>
      <c r="D46" s="1267" t="s">
        <v>223</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410</v>
      </c>
      <c r="AO46" s="1624"/>
      <c r="AP46" s="1624" t="str">
        <f>IF(T46="","",T46)</f>
        <v>Источник тепловой энергии  </v>
      </c>
      <c r="AQ46" s="1624"/>
      <c r="AR46" s="1624"/>
      <c r="AS46" s="1631">
        <v>21</v>
      </c>
    </row>
    <row customHeight="1" ht="49.5">
      <c r="A47" s="1267" t="s">
        <v>220</v>
      </c>
      <c r="B47" s="1267" t="s">
        <v>221</v>
      </c>
      <c r="C47" s="1267" t="s">
        <v>222</v>
      </c>
      <c r="D47" s="1267" t="s">
        <v>223</v>
      </c>
      <c r="E47" s="2290"/>
      <c r="F47" s="2290"/>
      <c r="G47" s="2290"/>
      <c r="H47" s="2290"/>
      <c r="I47" s="2127" t="str">
        <f>S46&amp;".1"</f>
        <v>....1</v>
      </c>
      <c r="J47" s="1267"/>
      <c r="K47" s="1267"/>
      <c r="L47" s="1310" t="s">
        <v>411</v>
      </c>
      <c r="P47" s="2257">
        <v>1</v>
      </c>
      <c r="Q47" s="1954"/>
      <c r="R47" s="356"/>
      <c r="S47" s="1958" t="str">
        <f>$I47</f>
        <v>....1</v>
      </c>
      <c r="T47" s="285" t="s">
        <v>412</v>
      </c>
      <c r="U47" s="300"/>
      <c r="V47" s="2245"/>
      <c r="W47" s="2246"/>
      <c r="X47" s="2246"/>
      <c r="Y47" s="2246"/>
      <c r="Z47" s="2246"/>
      <c r="AA47" s="2246"/>
      <c r="AB47" s="2246"/>
      <c r="AC47" s="2247"/>
      <c r="AD47" s="2245"/>
      <c r="AE47" s="2246"/>
      <c r="AF47" s="2246"/>
      <c r="AG47" s="2246"/>
      <c r="AH47" s="2246"/>
      <c r="AI47" s="2246"/>
      <c r="AJ47" s="2246"/>
      <c r="AK47" s="2246"/>
      <c r="AL47" s="2247"/>
      <c r="AM47" s="1258" t="s">
        <v>413</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220</v>
      </c>
      <c r="B48" s="1267" t="s">
        <v>221</v>
      </c>
      <c r="C48" s="1267" t="s">
        <v>222</v>
      </c>
      <c r="D48" s="1267" t="s">
        <v>223</v>
      </c>
      <c r="E48" s="2290"/>
      <c r="F48" s="2290"/>
      <c r="G48" s="2290"/>
      <c r="H48" s="2290"/>
      <c r="I48" s="2101"/>
      <c r="J48" s="2127" t="str">
        <f>I47&amp;".1"</f>
        <v>....1.1</v>
      </c>
      <c r="K48" s="1267"/>
      <c r="L48" s="1310" t="s">
        <v>414</v>
      </c>
      <c r="P48" s="2257"/>
      <c r="Q48" s="2257">
        <v>1</v>
      </c>
      <c r="R48" s="357"/>
      <c r="S48" s="1958" t="str">
        <f>$J48</f>
        <v>....1.1</v>
      </c>
      <c r="T48" s="286" t="s">
        <v>415</v>
      </c>
      <c r="U48" s="300"/>
      <c r="V48" s="2245"/>
      <c r="W48" s="2246"/>
      <c r="X48" s="2246"/>
      <c r="Y48" s="2246"/>
      <c r="Z48" s="2246"/>
      <c r="AA48" s="2246"/>
      <c r="AB48" s="2246"/>
      <c r="AC48" s="2247"/>
      <c r="AD48" s="2245"/>
      <c r="AE48" s="2246"/>
      <c r="AF48" s="2246"/>
      <c r="AG48" s="2246"/>
      <c r="AH48" s="2246"/>
      <c r="AI48" s="2246"/>
      <c r="AJ48" s="2246"/>
      <c r="AK48" s="2246"/>
      <c r="AL48" s="2247"/>
      <c r="AM48" s="1258" t="s">
        <v>416</v>
      </c>
      <c r="AO48" s="1624"/>
      <c r="AP48" s="1624" t="str">
        <f>IF(T48="","",T48)</f>
        <v>Группа потребителей</v>
      </c>
      <c r="AQ48" s="1624"/>
      <c r="AR48" s="1624"/>
      <c r="AS48" s="1631">
        <v>21</v>
      </c>
    </row>
    <row customHeight="1" ht="22.049999999999997">
      <c r="A49" s="1267" t="s">
        <v>220</v>
      </c>
      <c r="B49" s="1267" t="s">
        <v>221</v>
      </c>
      <c r="C49" s="1267" t="s">
        <v>222</v>
      </c>
      <c r="D49" s="1267" t="s">
        <v>223</v>
      </c>
      <c r="E49" s="2290"/>
      <c r="F49" s="2290"/>
      <c r="G49" s="2290"/>
      <c r="H49" s="2290"/>
      <c r="I49" s="2101"/>
      <c r="J49" s="2101"/>
      <c r="K49" s="2127" t="str">
        <f>J48&amp;".1"</f>
        <v>....1.1.1</v>
      </c>
      <c r="L49" s="1310" t="s">
        <v>417</v>
      </c>
      <c r="P49" s="2257"/>
      <c r="Q49" s="2257"/>
      <c r="R49" s="357">
        <v>1</v>
      </c>
      <c r="S49" s="1958" t="str">
        <f>$K49</f>
        <v>....1.1.1</v>
      </c>
      <c r="T49" s="1347"/>
      <c r="U49" s="300"/>
      <c r="V49" s="751"/>
      <c r="W49" s="325"/>
      <c r="X49" s="751"/>
      <c r="Y49" s="1257"/>
      <c r="Z49" s="2265"/>
      <c r="AA49" s="2107" t="s">
        <v>70</v>
      </c>
      <c r="AB49" s="2265"/>
      <c r="AC49" s="2107" t="s">
        <v>70</v>
      </c>
      <c r="AD49" s="751"/>
      <c r="AE49" s="325"/>
      <c r="AF49" s="751"/>
      <c r="AG49" s="1257"/>
      <c r="AH49" s="2265"/>
      <c r="AI49" s="2107" t="s">
        <v>70</v>
      </c>
      <c r="AJ49" s="2287"/>
      <c r="AK49" s="2107" t="s">
        <v>70</v>
      </c>
      <c r="AL49" s="1348"/>
      <c r="AM49" s="2253" t="s">
        <v>418</v>
      </c>
      <c r="AN49" s="1636">
        <f>STRCHECKDATE(V50:AL50)</f>
      </c>
      <c r="AO49" s="1624"/>
      <c r="AP49" s="1624" t="str">
        <f>IF(T49="","",T49)</f>
        <v/>
      </c>
      <c r="AQ49" s="1624"/>
      <c r="AR49" s="1624"/>
      <c r="AS49" s="1631">
        <v>21</v>
      </c>
    </row>
    <row customHeight="1" ht="1.05">
      <c r="A50" s="1267" t="s">
        <v>220</v>
      </c>
      <c r="B50" s="1267" t="s">
        <v>221</v>
      </c>
      <c r="C50" s="1267" t="s">
        <v>222</v>
      </c>
      <c r="D50" s="1267" t="s">
        <v>223</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220</v>
      </c>
      <c r="B51" s="1267" t="s">
        <v>221</v>
      </c>
      <c r="C51" s="1267" t="s">
        <v>222</v>
      </c>
      <c r="D51" s="1267" t="s">
        <v>223</v>
      </c>
      <c r="E51" s="2290"/>
      <c r="F51" s="2290"/>
      <c r="G51" s="2290"/>
      <c r="H51" s="2290"/>
      <c r="I51" s="2101"/>
      <c r="J51" s="2127"/>
      <c r="K51" s="1267"/>
      <c r="L51" s="1310"/>
      <c r="P51" s="2257"/>
      <c r="Q51" s="2257"/>
      <c r="R51" s="356"/>
      <c r="S51" s="1278"/>
      <c r="T51" s="288" t="s">
        <v>419</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220</v>
      </c>
      <c r="B52" s="1267" t="s">
        <v>221</v>
      </c>
      <c r="C52" s="1267" t="s">
        <v>222</v>
      </c>
      <c r="D52" s="1267" t="s">
        <v>223</v>
      </c>
      <c r="E52" s="2290"/>
      <c r="F52" s="2290"/>
      <c r="G52" s="2290"/>
      <c r="H52" s="2290"/>
      <c r="I52" s="2127"/>
      <c r="J52" s="1267"/>
      <c r="K52" s="1267"/>
      <c r="L52" s="1310"/>
      <c r="P52" s="2257"/>
      <c r="Q52" s="1954"/>
      <c r="R52" s="356"/>
      <c r="S52" s="1278"/>
      <c r="T52" s="287" t="s">
        <v>420</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220</v>
      </c>
      <c r="B53" s="1267" t="s">
        <v>221</v>
      </c>
      <c r="C53" s="1267" t="s">
        <v>222</v>
      </c>
      <c r="D53" s="1267" t="s">
        <v>223</v>
      </c>
      <c r="E53" s="2290"/>
      <c r="F53" s="2290"/>
      <c r="G53" s="2290"/>
      <c r="H53" s="2289"/>
      <c r="I53" s="1267"/>
      <c r="J53" s="1267"/>
      <c r="K53" s="1267"/>
      <c r="L53" s="1310"/>
      <c r="M53" s="1610"/>
      <c r="N53" s="1610"/>
      <c r="O53" s="1635"/>
      <c r="P53" s="360"/>
      <c r="Q53" s="375"/>
      <c r="R53" s="355"/>
      <c r="S53" s="1278"/>
      <c r="T53" s="365" t="s">
        <v>421</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220</v>
      </c>
      <c r="B54" s="1375" t="s">
        <v>221</v>
      </c>
      <c r="C54" s="1375" t="s">
        <v>222</v>
      </c>
      <c r="D54" s="1374"/>
      <c r="E54" s="2290"/>
      <c r="F54" s="2290"/>
      <c r="G54" s="2289"/>
      <c r="H54" s="1374"/>
      <c r="I54" s="1374"/>
      <c r="J54" s="1374"/>
      <c r="K54" s="1374"/>
      <c r="L54" s="1377"/>
      <c r="M54" s="1378"/>
      <c r="N54" s="1378"/>
      <c r="O54" s="351"/>
      <c r="P54" s="1316"/>
      <c r="Q54" s="1317"/>
      <c r="R54" s="1316"/>
      <c r="S54" s="1322"/>
      <c r="T54" s="1325" t="s">
        <v>172</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220</v>
      </c>
      <c r="B55" s="1375" t="s">
        <v>221</v>
      </c>
      <c r="C55" s="1374"/>
      <c r="D55" s="1374"/>
      <c r="E55" s="2290"/>
      <c r="F55" s="2289"/>
      <c r="G55" s="1374"/>
      <c r="H55" s="1374"/>
      <c r="I55" s="1374"/>
      <c r="J55" s="1374"/>
      <c r="K55" s="1374"/>
      <c r="L55" s="1377"/>
      <c r="M55" s="1379"/>
      <c r="N55" s="1379"/>
      <c r="O55" s="351"/>
      <c r="P55" s="1316"/>
      <c r="Q55" s="1317"/>
      <c r="R55" s="1316"/>
      <c r="S55" s="1322"/>
      <c r="T55" s="1325" t="s">
        <v>173</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220</v>
      </c>
      <c r="B56" s="1375"/>
      <c r="C56" s="1375"/>
      <c r="D56" s="1375"/>
      <c r="E56" s="2289"/>
      <c r="F56" s="1375"/>
      <c r="G56" s="1375"/>
      <c r="H56" s="1375"/>
      <c r="I56" s="1375"/>
      <c r="J56" s="1375"/>
      <c r="K56" s="1375"/>
      <c r="L56" s="1381"/>
      <c r="M56" s="1379"/>
      <c r="N56" s="1379"/>
      <c r="O56" s="351"/>
      <c r="P56" s="380"/>
      <c r="Q56" s="1344"/>
      <c r="R56" s="380"/>
      <c r="S56" s="1322"/>
      <c r="T56" s="1325" t="s">
        <v>174</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175</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86</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8BA6B8-A1A8-E2E8-AA88-760255B1291C}"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127</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404</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406</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408</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410</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411</v>
      </c>
      <c r="M6" s="1635"/>
      <c r="P6" s="2257">
        <v>1</v>
      </c>
      <c r="Q6" s="1954"/>
      <c r="R6" s="356"/>
      <c r="S6" s="1958">
        <f>$I6</f>
      </c>
      <c r="T6" s="285" t="s">
        <v>412</v>
      </c>
      <c r="U6" s="300"/>
      <c r="V6" s="2245"/>
      <c r="W6" s="2246"/>
      <c r="X6" s="2246"/>
      <c r="Y6" s="2246"/>
      <c r="Z6" s="2246"/>
      <c r="AA6" s="2246"/>
      <c r="AB6" s="2246"/>
      <c r="AC6" s="2247"/>
      <c r="AD6" s="2245"/>
      <c r="AE6" s="2246"/>
      <c r="AF6" s="2246"/>
      <c r="AG6" s="2246"/>
      <c r="AH6" s="2246"/>
      <c r="AI6" s="2246"/>
      <c r="AJ6" s="2246"/>
      <c r="AK6" s="2246"/>
      <c r="AL6" s="2247"/>
      <c r="AM6" s="1258" t="s">
        <v>413</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414</v>
      </c>
      <c r="M7" s="1635"/>
      <c r="N7" s="1631"/>
      <c r="P7" s="2257"/>
      <c r="Q7" s="2257">
        <v>1</v>
      </c>
      <c r="R7" s="357"/>
      <c r="S7" s="1958">
        <f>$J7</f>
      </c>
      <c r="T7" s="286" t="s">
        <v>415</v>
      </c>
      <c r="U7" s="300"/>
      <c r="V7" s="2245"/>
      <c r="W7" s="2246"/>
      <c r="X7" s="2246"/>
      <c r="Y7" s="2246"/>
      <c r="Z7" s="2246"/>
      <c r="AA7" s="2246"/>
      <c r="AB7" s="2246"/>
      <c r="AC7" s="2247"/>
      <c r="AD7" s="2245"/>
      <c r="AE7" s="2246"/>
      <c r="AF7" s="2246"/>
      <c r="AG7" s="2246"/>
      <c r="AH7" s="2246"/>
      <c r="AI7" s="2246"/>
      <c r="AJ7" s="2246"/>
      <c r="AK7" s="2246"/>
      <c r="AL7" s="2247"/>
      <c r="AM7" s="1258" t="s">
        <v>416</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417</v>
      </c>
      <c r="M8" s="1635"/>
      <c r="N8" s="1631"/>
      <c r="O8" s="1631"/>
      <c r="P8" s="2257"/>
      <c r="Q8" s="2257"/>
      <c r="R8" s="357">
        <v>1</v>
      </c>
      <c r="S8" s="1958">
        <f>$K8</f>
      </c>
      <c r="T8" s="1347"/>
      <c r="U8" s="300"/>
      <c r="V8" s="751"/>
      <c r="W8" s="325"/>
      <c r="X8" s="751"/>
      <c r="Y8" s="1257"/>
      <c r="Z8" s="2265"/>
      <c r="AA8" s="2107" t="s">
        <v>70</v>
      </c>
      <c r="AB8" s="2265"/>
      <c r="AC8" s="2107" t="s">
        <v>70</v>
      </c>
      <c r="AD8" s="751"/>
      <c r="AE8" s="325"/>
      <c r="AF8" s="751"/>
      <c r="AG8" s="1257"/>
      <c r="AH8" s="2265"/>
      <c r="AI8" s="2107" t="s">
        <v>70</v>
      </c>
      <c r="AJ8" s="2265"/>
      <c r="AK8" s="2107" t="s">
        <v>70</v>
      </c>
      <c r="AL8" s="325"/>
      <c r="AM8" s="2253" t="s">
        <v>418</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419</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420</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421</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172</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173</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174</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70</v>
      </c>
      <c r="AJ17" s="2267"/>
      <c r="AK17" s="2268" t="s">
        <v>70</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422</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423</v>
      </c>
      <c r="P22" s="1362"/>
      <c r="Q22" s="1371"/>
      <c r="R22" s="1371"/>
      <c r="S22" s="729"/>
      <c r="T22" s="1366" t="s">
        <v>424</v>
      </c>
      <c r="AA22" s="595" t="s">
        <v>425</v>
      </c>
      <c r="AC22" s="595" t="s">
        <v>426</v>
      </c>
      <c r="AD22" s="1366" t="s">
        <v>424</v>
      </c>
      <c r="AI22" s="595" t="s">
        <v>427</v>
      </c>
      <c r="AK22" s="595" t="s">
        <v>426</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ООО "Энерго-Сервис"</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Комитет по тарифам и ценам Курской области</v>
      </c>
      <c r="W29" s="2251"/>
      <c r="X29" s="2251"/>
      <c r="Y29" s="2251"/>
      <c r="Z29" s="2251"/>
      <c r="AA29" s="2251"/>
      <c r="AB29" s="2251"/>
      <c r="AC29" s="1635"/>
      <c r="AD29" s="2251" t="str">
        <f>IF(TITLE_NAME_OR_PR_CHANGE="",IF(TITLE_NAME_OR_PR="","",TITLE_NAME_OR_PR),TITLE_NAME_OR_PR_CHANGE)</f>
        <v>Комитет по тарифам и ценам Курской области</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428</v>
      </c>
      <c r="T30" s="2250"/>
      <c r="U30" s="1372"/>
      <c r="V30" s="2264" t="str">
        <f>IF(TITLE_DATE_PR_CHANGE="",IF(TITLE_DATE_PR="","",TITLE_DATE_PR),TITLE_DATE_PR_CHANGE)</f>
        <v>46010</v>
      </c>
      <c r="W30" s="2264"/>
      <c r="X30" s="2264"/>
      <c r="Y30" s="2264"/>
      <c r="Z30" s="2264"/>
      <c r="AA30" s="2264"/>
      <c r="AB30" s="2264"/>
      <c r="AC30" s="1635"/>
      <c r="AD30" s="2264" t="str">
        <f>IF(TITLE_DATE_PR_CHANGE="",IF(TITLE_DATE_PR="","",TITLE_DATE_PR),TITLE_DATE_PR_CHANGE)</f>
        <v>46010</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429</v>
      </c>
      <c r="T31" s="2250"/>
      <c r="U31" s="1372"/>
      <c r="V31" s="2251" t="str">
        <f>IF(TITLE_NUMBER_PR_CHANGE="",IF(TITLE_NUMBER_PR="","",TITLE_NUMBER_PR),TITLE_NUMBER_PR_CHANGE)</f>
        <v>66</v>
      </c>
      <c r="W31" s="2251"/>
      <c r="X31" s="2251"/>
      <c r="Y31" s="2251"/>
      <c r="Z31" s="2251"/>
      <c r="AA31" s="2251"/>
      <c r="AB31" s="2251"/>
      <c r="AC31" s="1635"/>
      <c r="AD31" s="2251" t="str">
        <f>IF(TITLE_NUMBER_PR_CHANGE="",IF(TITLE_NUMBER_PR="","",TITLE_NUMBER_PR),TITLE_NUMBER_PR_CHANGE)</f>
        <v>66</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44</v>
      </c>
      <c r="T32" s="2250"/>
      <c r="U32" s="1372"/>
      <c r="V32" s="2251" t="str">
        <f>IF(TITLE_IST_PUB_CHANGE="",IF(TITLE_IST_PUB="","",TITLE_IST_PUB),TITLE_IST_PUB_CHANGE)</f>
        <v>https://kurskpravo.ru/accepted-npa-prewev/2528</v>
      </c>
      <c r="W32" s="2251"/>
      <c r="X32" s="2251"/>
      <c r="Y32" s="2251"/>
      <c r="Z32" s="2251"/>
      <c r="AA32" s="2251"/>
      <c r="AB32" s="2251"/>
      <c r="AC32" s="1635"/>
      <c r="AD32" s="2251" t="str">
        <f>IF(TITLE_IST_PUB_CHANGE="",IF(TITLE_IST_PUB="","",TITLE_IST_PUB),TITLE_IST_PUB_CHANGE)</f>
        <v>https://kurskpravo.ru/accepted-npa-prewev/2528</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430</v>
      </c>
      <c r="T34" s="2250"/>
      <c r="U34" s="1372"/>
      <c r="V34" s="2264" t="str">
        <f>IF(TITLE_DATE_PR_CHANGE="",IF(TITLE_DATE_PR="","",TITLE_DATE_PR),TITLE_DATE_PR_CHANGE)</f>
        <v>46010</v>
      </c>
      <c r="W34" s="2264"/>
      <c r="X34" s="2264"/>
      <c r="Y34" s="2264"/>
      <c r="Z34" s="2264"/>
      <c r="AA34" s="2264"/>
      <c r="AB34" s="2264"/>
      <c r="AC34" s="1635"/>
      <c r="AD34" s="2264" t="str">
        <f>IF(TITLE_DATE_PR_CHANGE="",IF(TITLE_DATE_PR="","",TITLE_DATE_PR),TITLE_DATE_PR_CHANGE)</f>
        <v>46010</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431</v>
      </c>
      <c r="T35" s="2250"/>
      <c r="U35" s="1372"/>
      <c r="V35" s="2251" t="str">
        <f>IF(TITLE_NUMBER_PR_CHANGE="",IF(TITLE_NUMBER_PR="","",TITLE_NUMBER_PR),TITLE_NUMBER_PR_CHANGE)</f>
        <v>66</v>
      </c>
      <c r="W35" s="2251"/>
      <c r="X35" s="2251"/>
      <c r="Y35" s="2251"/>
      <c r="Z35" s="2251"/>
      <c r="AA35" s="2251"/>
      <c r="AB35" s="2251"/>
      <c r="AC35" s="1635"/>
      <c r="AD35" s="2251" t="str">
        <f>IF(TITLE_NUMBER_PR_CHANGE="",IF(TITLE_NUMBER_PR="","",TITLE_NUMBER_PR),TITLE_NUMBER_PR_CHANGE)</f>
        <v>66</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432</v>
      </c>
      <c r="AD36" s="1635"/>
      <c r="AE36" s="1635"/>
      <c r="AF36" s="1635"/>
      <c r="AG36" s="1635"/>
      <c r="AH36" s="1635"/>
      <c r="AI36" s="1635"/>
      <c r="AJ36" s="1635"/>
      <c r="AK36" s="1642" t="s">
        <v>432</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309</v>
      </c>
      <c r="AS38" s="1631">
        <v>14</v>
      </c>
    </row>
    <row customHeight="1" ht="14.699999999999998">
      <c r="Q39" s="376"/>
      <c r="R39" s="376"/>
      <c r="S39" s="2273" t="s">
        <v>92</v>
      </c>
      <c r="T39" s="2209" t="s">
        <v>433</v>
      </c>
      <c r="U39" s="337"/>
      <c r="V39" s="2274" t="s">
        <v>434</v>
      </c>
      <c r="W39" s="2275"/>
      <c r="X39" s="2275"/>
      <c r="Y39" s="2275"/>
      <c r="Z39" s="2275"/>
      <c r="AA39" s="2275"/>
      <c r="AB39" s="2276"/>
      <c r="AC39" s="2277" t="s">
        <v>435</v>
      </c>
      <c r="AD39" s="2274" t="s">
        <v>434</v>
      </c>
      <c r="AE39" s="2275"/>
      <c r="AF39" s="2275"/>
      <c r="AG39" s="2275"/>
      <c r="AH39" s="2275"/>
      <c r="AI39" s="2275"/>
      <c r="AJ39" s="2276"/>
      <c r="AK39" s="2277" t="s">
        <v>436</v>
      </c>
      <c r="AL39" s="2280" t="s">
        <v>437</v>
      </c>
      <c r="AM39" s="2127"/>
      <c r="AS39" s="1631">
        <v>14</v>
      </c>
    </row>
    <row customHeight="1" ht="35.699999999999996">
      <c r="Q40" s="376"/>
      <c r="R40" s="376"/>
      <c r="S40" s="2273"/>
      <c r="T40" s="2209"/>
      <c r="U40" s="1031"/>
      <c r="V40" s="2260" t="s">
        <v>438</v>
      </c>
      <c r="W40" s="2283" t="s">
        <v>439</v>
      </c>
      <c r="X40" s="2262" t="s">
        <v>440</v>
      </c>
      <c r="Y40" s="2263"/>
      <c r="Z40" s="2262" t="s">
        <v>454</v>
      </c>
      <c r="AA40" s="2269"/>
      <c r="AB40" s="2263"/>
      <c r="AC40" s="2278"/>
      <c r="AD40" s="2260" t="s">
        <v>438</v>
      </c>
      <c r="AE40" s="2283" t="s">
        <v>439</v>
      </c>
      <c r="AF40" s="2262" t="s">
        <v>440</v>
      </c>
      <c r="AG40" s="2263"/>
      <c r="AH40" s="2262" t="s">
        <v>441</v>
      </c>
      <c r="AI40" s="2269"/>
      <c r="AJ40" s="2263"/>
      <c r="AK40" s="2278"/>
      <c r="AL40" s="2281"/>
      <c r="AM40" s="2127"/>
      <c r="AS40" s="1631">
        <v>34</v>
      </c>
    </row>
    <row customHeight="1" ht="35.699999999999996">
      <c r="A41" s="1266"/>
      <c r="B41" s="1266" t="s">
        <v>139</v>
      </c>
      <c r="C41" s="1266" t="s">
        <v>140</v>
      </c>
      <c r="D41" s="1266" t="s">
        <v>141</v>
      </c>
      <c r="E41" s="1310" t="s">
        <v>442</v>
      </c>
      <c r="F41" s="1310" t="s">
        <v>443</v>
      </c>
      <c r="G41" s="1310" t="s">
        <v>444</v>
      </c>
      <c r="H41" s="1310" t="s">
        <v>445</v>
      </c>
      <c r="I41" s="1310" t="s">
        <v>446</v>
      </c>
      <c r="J41" s="1310" t="s">
        <v>447</v>
      </c>
      <c r="K41" s="1310" t="s">
        <v>448</v>
      </c>
      <c r="L41" s="1310" t="s">
        <v>423</v>
      </c>
      <c r="Q41" s="376"/>
      <c r="R41" s="376"/>
      <c r="S41" s="2273"/>
      <c r="T41" s="2209"/>
      <c r="U41" s="302"/>
      <c r="V41" s="2261"/>
      <c r="W41" s="2284"/>
      <c r="X41" s="1938" t="s">
        <v>449</v>
      </c>
      <c r="Y41" s="1938" t="s">
        <v>450</v>
      </c>
      <c r="Z41" s="1938" t="s">
        <v>451</v>
      </c>
      <c r="AA41" s="2270" t="s">
        <v>452</v>
      </c>
      <c r="AB41" s="2271"/>
      <c r="AC41" s="2279"/>
      <c r="AD41" s="2261"/>
      <c r="AE41" s="2284"/>
      <c r="AF41" s="1938" t="s">
        <v>449</v>
      </c>
      <c r="AG41" s="1938" t="s">
        <v>450</v>
      </c>
      <c r="AH41" s="1938" t="s">
        <v>451</v>
      </c>
      <c r="AI41" s="2270" t="s">
        <v>452</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113</v>
      </c>
      <c r="T42" s="1255" t="s">
        <v>114</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220</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127</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4"/>
      <c r="AP43" s="1624" t="str">
        <f>IF(T43="","",T43)</f>
        <v>Наименование тарифа</v>
      </c>
      <c r="AQ43" s="1624"/>
      <c r="AR43" s="1624"/>
      <c r="AS43" s="1631">
        <v>21</v>
      </c>
    </row>
    <row customHeight="1" ht="22.049999999999997">
      <c r="A44" s="1267" t="s">
        <v>220</v>
      </c>
      <c r="B44" s="1267" t="s">
        <v>221</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406</v>
      </c>
      <c r="AO44" s="1624"/>
      <c r="AP44" s="1624" t="str">
        <f>IF(T44="","",T44)</f>
        <v>Территория действия тарифа</v>
      </c>
      <c r="AQ44" s="1624"/>
      <c r="AR44" s="1624"/>
      <c r="AS44" s="1631">
        <v>21</v>
      </c>
    </row>
    <row customHeight="1" ht="24">
      <c r="A45" s="1267" t="s">
        <v>220</v>
      </c>
      <c r="B45" s="1267" t="s">
        <v>221</v>
      </c>
      <c r="C45" s="1267" t="s">
        <v>222</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408</v>
      </c>
      <c r="AO45" s="1624"/>
      <c r="AP45" s="1624" t="str">
        <f>IF(T45="","",T45)</f>
        <v>Наименование системы теплоснабжения </v>
      </c>
      <c r="AQ45" s="1624"/>
      <c r="AR45" s="1624"/>
      <c r="AS45" s="1631">
        <v>23</v>
      </c>
    </row>
    <row customHeight="1" ht="22.049999999999997">
      <c r="A46" s="1267" t="s">
        <v>220</v>
      </c>
      <c r="B46" s="1267" t="s">
        <v>221</v>
      </c>
      <c r="C46" s="1267" t="s">
        <v>222</v>
      </c>
      <c r="D46" s="1267" t="s">
        <v>223</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410</v>
      </c>
      <c r="AO46" s="1624"/>
      <c r="AP46" s="1624" t="str">
        <f>IF(T46="","",T46)</f>
        <v>Источник тепловой энергии  </v>
      </c>
      <c r="AQ46" s="1624"/>
      <c r="AR46" s="1624"/>
      <c r="AS46" s="1631">
        <v>21</v>
      </c>
    </row>
    <row customHeight="1" ht="49.5">
      <c r="A47" s="1267" t="s">
        <v>220</v>
      </c>
      <c r="B47" s="1267" t="s">
        <v>221</v>
      </c>
      <c r="C47" s="1267" t="s">
        <v>222</v>
      </c>
      <c r="D47" s="1267" t="s">
        <v>223</v>
      </c>
      <c r="E47" s="2290"/>
      <c r="F47" s="2290"/>
      <c r="G47" s="2290"/>
      <c r="H47" s="2290"/>
      <c r="I47" s="2127" t="str">
        <f>S46&amp;".1"</f>
        <v>....1</v>
      </c>
      <c r="J47" s="1267"/>
      <c r="K47" s="1267"/>
      <c r="L47" s="1310" t="s">
        <v>411</v>
      </c>
      <c r="P47" s="2257">
        <v>1</v>
      </c>
      <c r="Q47" s="1954"/>
      <c r="R47" s="356"/>
      <c r="S47" s="1958" t="str">
        <f>$I47</f>
        <v>....1</v>
      </c>
      <c r="T47" s="285" t="s">
        <v>412</v>
      </c>
      <c r="U47" s="300"/>
      <c r="V47" s="2245"/>
      <c r="W47" s="2246"/>
      <c r="X47" s="2246"/>
      <c r="Y47" s="2246"/>
      <c r="Z47" s="2246"/>
      <c r="AA47" s="2246"/>
      <c r="AB47" s="2246"/>
      <c r="AC47" s="2247"/>
      <c r="AD47" s="2245"/>
      <c r="AE47" s="2246"/>
      <c r="AF47" s="2246"/>
      <c r="AG47" s="2246"/>
      <c r="AH47" s="2246"/>
      <c r="AI47" s="2246"/>
      <c r="AJ47" s="2246"/>
      <c r="AK47" s="2246"/>
      <c r="AL47" s="2247"/>
      <c r="AM47" s="1258" t="s">
        <v>413</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220</v>
      </c>
      <c r="B48" s="1267" t="s">
        <v>221</v>
      </c>
      <c r="C48" s="1267" t="s">
        <v>222</v>
      </c>
      <c r="D48" s="1267" t="s">
        <v>223</v>
      </c>
      <c r="E48" s="2290"/>
      <c r="F48" s="2290"/>
      <c r="G48" s="2290"/>
      <c r="H48" s="2290"/>
      <c r="I48" s="2101"/>
      <c r="J48" s="2127" t="str">
        <f>I47&amp;".1"</f>
        <v>....1.1</v>
      </c>
      <c r="K48" s="1267"/>
      <c r="L48" s="1310" t="s">
        <v>414</v>
      </c>
      <c r="P48" s="2257"/>
      <c r="Q48" s="2257">
        <v>1</v>
      </c>
      <c r="R48" s="357"/>
      <c r="S48" s="1958" t="str">
        <f>$J48</f>
        <v>....1.1</v>
      </c>
      <c r="T48" s="286" t="s">
        <v>415</v>
      </c>
      <c r="U48" s="300"/>
      <c r="V48" s="2245"/>
      <c r="W48" s="2246"/>
      <c r="X48" s="2246"/>
      <c r="Y48" s="2246"/>
      <c r="Z48" s="2246"/>
      <c r="AA48" s="2246"/>
      <c r="AB48" s="2246"/>
      <c r="AC48" s="2247"/>
      <c r="AD48" s="2245"/>
      <c r="AE48" s="2246"/>
      <c r="AF48" s="2246"/>
      <c r="AG48" s="2246"/>
      <c r="AH48" s="2246"/>
      <c r="AI48" s="2246"/>
      <c r="AJ48" s="2246"/>
      <c r="AK48" s="2246"/>
      <c r="AL48" s="2247"/>
      <c r="AM48" s="1258" t="s">
        <v>416</v>
      </c>
      <c r="AO48" s="1624"/>
      <c r="AP48" s="1624" t="str">
        <f>IF(T48="","",T48)</f>
        <v>Группа потребителей</v>
      </c>
      <c r="AQ48" s="1624"/>
      <c r="AR48" s="1624"/>
      <c r="AS48" s="1631">
        <v>21</v>
      </c>
    </row>
    <row customHeight="1" ht="22.049999999999997">
      <c r="A49" s="1267" t="s">
        <v>220</v>
      </c>
      <c r="B49" s="1267" t="s">
        <v>221</v>
      </c>
      <c r="C49" s="1267" t="s">
        <v>222</v>
      </c>
      <c r="D49" s="1267" t="s">
        <v>223</v>
      </c>
      <c r="E49" s="2290"/>
      <c r="F49" s="2290"/>
      <c r="G49" s="2290"/>
      <c r="H49" s="2290"/>
      <c r="I49" s="2101"/>
      <c r="J49" s="2101"/>
      <c r="K49" s="2127" t="str">
        <f>J48&amp;".1"</f>
        <v>....1.1.1</v>
      </c>
      <c r="L49" s="1310" t="s">
        <v>417</v>
      </c>
      <c r="P49" s="2257"/>
      <c r="Q49" s="2257"/>
      <c r="R49" s="357">
        <v>1</v>
      </c>
      <c r="S49" s="1958" t="str">
        <f>$K49</f>
        <v>....1.1.1</v>
      </c>
      <c r="T49" s="1347"/>
      <c r="U49" s="300"/>
      <c r="V49" s="751"/>
      <c r="W49" s="325"/>
      <c r="X49" s="751"/>
      <c r="Y49" s="1257"/>
      <c r="Z49" s="2265"/>
      <c r="AA49" s="2107" t="s">
        <v>70</v>
      </c>
      <c r="AB49" s="2265"/>
      <c r="AC49" s="2107" t="s">
        <v>70</v>
      </c>
      <c r="AD49" s="751"/>
      <c r="AE49" s="325"/>
      <c r="AF49" s="751"/>
      <c r="AG49" s="1257"/>
      <c r="AH49" s="2265"/>
      <c r="AI49" s="2107" t="s">
        <v>70</v>
      </c>
      <c r="AJ49" s="2287"/>
      <c r="AK49" s="2107" t="s">
        <v>70</v>
      </c>
      <c r="AL49" s="1348"/>
      <c r="AM49" s="2253" t="s">
        <v>418</v>
      </c>
      <c r="AN49" s="1636">
        <f>STRCHECKDATE(V50:AL50)</f>
      </c>
      <c r="AO49" s="1624"/>
      <c r="AP49" s="1624" t="str">
        <f>IF(T49="","",T49)</f>
        <v/>
      </c>
      <c r="AQ49" s="1624"/>
      <c r="AR49" s="1624"/>
      <c r="AS49" s="1631">
        <v>21</v>
      </c>
    </row>
    <row customHeight="1" ht="1.05">
      <c r="A50" s="1267" t="s">
        <v>220</v>
      </c>
      <c r="B50" s="1267" t="s">
        <v>221</v>
      </c>
      <c r="C50" s="1267" t="s">
        <v>222</v>
      </c>
      <c r="D50" s="1267" t="s">
        <v>223</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220</v>
      </c>
      <c r="B51" s="1267" t="s">
        <v>221</v>
      </c>
      <c r="C51" s="1267" t="s">
        <v>222</v>
      </c>
      <c r="D51" s="1267" t="s">
        <v>223</v>
      </c>
      <c r="E51" s="2290"/>
      <c r="F51" s="2290"/>
      <c r="G51" s="2290"/>
      <c r="H51" s="2290"/>
      <c r="I51" s="2101"/>
      <c r="J51" s="2127"/>
      <c r="K51" s="1267"/>
      <c r="L51" s="1310"/>
      <c r="P51" s="2257"/>
      <c r="Q51" s="2257"/>
      <c r="R51" s="356"/>
      <c r="S51" s="1278"/>
      <c r="T51" s="288" t="s">
        <v>419</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220</v>
      </c>
      <c r="B52" s="1267" t="s">
        <v>221</v>
      </c>
      <c r="C52" s="1267" t="s">
        <v>222</v>
      </c>
      <c r="D52" s="1267" t="s">
        <v>223</v>
      </c>
      <c r="E52" s="2290"/>
      <c r="F52" s="2290"/>
      <c r="G52" s="2290"/>
      <c r="H52" s="2290"/>
      <c r="I52" s="2127"/>
      <c r="J52" s="1267"/>
      <c r="K52" s="1267"/>
      <c r="L52" s="1310"/>
      <c r="P52" s="2257"/>
      <c r="Q52" s="1954"/>
      <c r="R52" s="356"/>
      <c r="S52" s="1278"/>
      <c r="T52" s="287" t="s">
        <v>420</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220</v>
      </c>
      <c r="B53" s="1267" t="s">
        <v>221</v>
      </c>
      <c r="C53" s="1267" t="s">
        <v>222</v>
      </c>
      <c r="D53" s="1267" t="s">
        <v>223</v>
      </c>
      <c r="E53" s="2290"/>
      <c r="F53" s="2290"/>
      <c r="G53" s="2290"/>
      <c r="H53" s="2289"/>
      <c r="I53" s="1267"/>
      <c r="J53" s="1267"/>
      <c r="K53" s="1267"/>
      <c r="L53" s="1310"/>
      <c r="M53" s="1610"/>
      <c r="N53" s="1610"/>
      <c r="O53" s="1635"/>
      <c r="P53" s="360"/>
      <c r="Q53" s="375"/>
      <c r="R53" s="355"/>
      <c r="S53" s="1278"/>
      <c r="T53" s="365" t="s">
        <v>421</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220</v>
      </c>
      <c r="B54" s="1267" t="s">
        <v>221</v>
      </c>
      <c r="C54" s="1267" t="s">
        <v>222</v>
      </c>
      <c r="D54" s="1974"/>
      <c r="E54" s="2290"/>
      <c r="F54" s="2290"/>
      <c r="G54" s="2289"/>
      <c r="H54" s="1974"/>
      <c r="I54" s="1974"/>
      <c r="J54" s="1974"/>
      <c r="K54" s="1974"/>
      <c r="L54" s="1380"/>
      <c r="M54" s="1610"/>
      <c r="N54" s="1610"/>
      <c r="O54" s="1635"/>
      <c r="P54" s="1316"/>
      <c r="Q54" s="1317"/>
      <c r="R54" s="1316"/>
      <c r="S54" s="1322"/>
      <c r="T54" s="1325" t="s">
        <v>172</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220</v>
      </c>
      <c r="B55" s="1267" t="s">
        <v>221</v>
      </c>
      <c r="C55" s="1974"/>
      <c r="D55" s="1974"/>
      <c r="E55" s="2290"/>
      <c r="F55" s="2289"/>
      <c r="G55" s="1974"/>
      <c r="H55" s="1974"/>
      <c r="I55" s="1974"/>
      <c r="J55" s="1974"/>
      <c r="K55" s="1974"/>
      <c r="L55" s="1380"/>
      <c r="M55" s="1975"/>
      <c r="N55" s="1975"/>
      <c r="O55" s="1635"/>
      <c r="P55" s="1316"/>
      <c r="Q55" s="1317"/>
      <c r="R55" s="1316"/>
      <c r="S55" s="1322"/>
      <c r="T55" s="1325" t="s">
        <v>173</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220</v>
      </c>
      <c r="B56" s="1267"/>
      <c r="C56" s="1267"/>
      <c r="D56" s="1267"/>
      <c r="E56" s="2289"/>
      <c r="F56" s="1267"/>
      <c r="G56" s="1267"/>
      <c r="H56" s="1267"/>
      <c r="I56" s="1267"/>
      <c r="J56" s="1267"/>
      <c r="K56" s="1267"/>
      <c r="L56" s="1310"/>
      <c r="M56" s="1975"/>
      <c r="N56" s="1975"/>
      <c r="O56" s="1635"/>
      <c r="P56" s="380"/>
      <c r="Q56" s="1344"/>
      <c r="R56" s="380"/>
      <c r="S56" s="1322"/>
      <c r="T56" s="1325" t="s">
        <v>174</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175</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86</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A701A5-0108-4E58-DB45-102EDE313AB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127</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404</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406</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408</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410</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411</v>
      </c>
      <c r="M6" s="537"/>
      <c r="P6" s="2257">
        <v>1</v>
      </c>
      <c r="Q6" s="1331"/>
      <c r="R6" s="356"/>
      <c r="S6" s="1336">
        <f>$I6</f>
      </c>
      <c r="T6" s="285" t="s">
        <v>412</v>
      </c>
      <c r="U6" s="300"/>
      <c r="V6" s="2245"/>
      <c r="W6" s="2246"/>
      <c r="X6" s="2246"/>
      <c r="Y6" s="2246"/>
      <c r="Z6" s="2246"/>
      <c r="AA6" s="2246"/>
      <c r="AB6" s="2246"/>
      <c r="AC6" s="2247"/>
      <c r="AD6" s="2245"/>
      <c r="AE6" s="2246"/>
      <c r="AF6" s="2246"/>
      <c r="AG6" s="2246"/>
      <c r="AH6" s="2246"/>
      <c r="AI6" s="2246"/>
      <c r="AJ6" s="2246"/>
      <c r="AK6" s="2246"/>
      <c r="AL6" s="2247"/>
      <c r="AM6" s="1258" t="s">
        <v>413</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414</v>
      </c>
      <c r="M7" s="537"/>
      <c r="N7" s="1366"/>
      <c r="P7" s="2257"/>
      <c r="Q7" s="2257">
        <v>1</v>
      </c>
      <c r="R7" s="357"/>
      <c r="S7" s="1336">
        <f>$J7</f>
      </c>
      <c r="T7" s="286" t="s">
        <v>415</v>
      </c>
      <c r="U7" s="300"/>
      <c r="V7" s="2245"/>
      <c r="W7" s="2246"/>
      <c r="X7" s="2246"/>
      <c r="Y7" s="2246"/>
      <c r="Z7" s="2246"/>
      <c r="AA7" s="2246"/>
      <c r="AB7" s="2246"/>
      <c r="AC7" s="2247"/>
      <c r="AD7" s="2245"/>
      <c r="AE7" s="2246"/>
      <c r="AF7" s="2246"/>
      <c r="AG7" s="2246"/>
      <c r="AH7" s="2246"/>
      <c r="AI7" s="2246"/>
      <c r="AJ7" s="2246"/>
      <c r="AK7" s="2246"/>
      <c r="AL7" s="2247"/>
      <c r="AM7" s="1258" t="s">
        <v>416</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417</v>
      </c>
      <c r="M8" s="537"/>
      <c r="N8" s="1366"/>
      <c r="O8" s="1366"/>
      <c r="P8" s="2257"/>
      <c r="Q8" s="2257"/>
      <c r="R8" s="357">
        <v>1</v>
      </c>
      <c r="S8" s="1336">
        <f>$K8</f>
      </c>
      <c r="T8" s="1347"/>
      <c r="U8" s="300"/>
      <c r="V8" s="325"/>
      <c r="W8" s="751"/>
      <c r="X8" s="325"/>
      <c r="Y8" s="384"/>
      <c r="Z8" s="2265"/>
      <c r="AA8" s="2107" t="s">
        <v>70</v>
      </c>
      <c r="AB8" s="2265"/>
      <c r="AC8" s="2107" t="s">
        <v>70</v>
      </c>
      <c r="AD8" s="325"/>
      <c r="AE8" s="751"/>
      <c r="AF8" s="325"/>
      <c r="AG8" s="384"/>
      <c r="AH8" s="2265"/>
      <c r="AI8" s="2107" t="s">
        <v>70</v>
      </c>
      <c r="AJ8" s="2265"/>
      <c r="AK8" s="2107" t="s">
        <v>70</v>
      </c>
      <c r="AL8" s="325"/>
      <c r="AM8" s="2253" t="s">
        <v>418</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419</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420</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421</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172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173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174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70</v>
      </c>
      <c r="AJ17" s="2267"/>
      <c r="AK17" s="2268" t="s">
        <v>70</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422</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423</v>
      </c>
      <c r="P22" s="1362"/>
      <c r="Q22" s="1371"/>
      <c r="R22" s="1371"/>
      <c r="S22" s="729"/>
      <c r="T22" s="1160" t="s">
        <v>424</v>
      </c>
      <c r="AA22" s="186" t="s">
        <v>425</v>
      </c>
      <c r="AC22" s="186" t="s">
        <v>426</v>
      </c>
      <c r="AD22" s="1160" t="s">
        <v>424</v>
      </c>
      <c r="AI22" s="186" t="s">
        <v>427</v>
      </c>
      <c r="AK22" s="186" t="s">
        <v>426</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ООО "Энерго-Сервис"</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Комитет по тарифам и ценам Курской области</v>
      </c>
      <c r="W29" s="2251"/>
      <c r="X29" s="2251"/>
      <c r="Y29" s="2251"/>
      <c r="Z29" s="2251"/>
      <c r="AA29" s="2251"/>
      <c r="AB29" s="2251"/>
      <c r="AC29" s="326"/>
      <c r="AD29" s="2251" t="str">
        <f>IF(TITLE_NAME_OR_PR_CHANGE="",IF(TITLE_NAME_OR_PR="","",TITLE_NAME_OR_PR),TITLE_NAME_OR_PR_CHANGE)</f>
        <v>Комитет по тарифам и ценам Курской области</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428</v>
      </c>
      <c r="T30" s="2250"/>
      <c r="U30" s="1372"/>
      <c r="V30" s="2264" t="str">
        <f>IF(TITLE_DATE_PR_CHANGE="",IF(TITLE_DATE_PR="","",TITLE_DATE_PR),TITLE_DATE_PR_CHANGE)</f>
        <v>46010</v>
      </c>
      <c r="W30" s="2264"/>
      <c r="X30" s="2264"/>
      <c r="Y30" s="2264"/>
      <c r="Z30" s="2264"/>
      <c r="AA30" s="2264"/>
      <c r="AB30" s="2264"/>
      <c r="AC30" s="326"/>
      <c r="AD30" s="2264" t="str">
        <f>IF(TITLE_DATE_PR_CHANGE="",IF(TITLE_DATE_PR="","",TITLE_DATE_PR),TITLE_DATE_PR_CHANGE)</f>
        <v>46010</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429</v>
      </c>
      <c r="T31" s="2250"/>
      <c r="U31" s="1372"/>
      <c r="V31" s="2251" t="str">
        <f>IF(TITLE_NUMBER_PR_CHANGE="",IF(TITLE_NUMBER_PR="","",TITLE_NUMBER_PR),TITLE_NUMBER_PR_CHANGE)</f>
        <v>66</v>
      </c>
      <c r="W31" s="2251"/>
      <c r="X31" s="2251"/>
      <c r="Y31" s="2251"/>
      <c r="Z31" s="2251"/>
      <c r="AA31" s="2251"/>
      <c r="AB31" s="2251"/>
      <c r="AC31" s="326"/>
      <c r="AD31" s="2251" t="str">
        <f>IF(TITLE_NUMBER_PR_CHANGE="",IF(TITLE_NUMBER_PR="","",TITLE_NUMBER_PR),TITLE_NUMBER_PR_CHANGE)</f>
        <v>66</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https://kurskpravo.ru/accepted-npa-prewev/2528</v>
      </c>
      <c r="W32" s="2251"/>
      <c r="X32" s="2251"/>
      <c r="Y32" s="2251"/>
      <c r="Z32" s="2251"/>
      <c r="AA32" s="2251"/>
      <c r="AB32" s="2251"/>
      <c r="AC32" s="326"/>
      <c r="AD32" s="2251" t="str">
        <f>IF(TITLE_IST_PUB_CHANGE="",IF(TITLE_IST_PUB="","",TITLE_IST_PUB),TITLE_IST_PUB_CHANGE)</f>
        <v>https://kurskpravo.ru/accepted-npa-prewev/2528</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430</v>
      </c>
      <c r="T34" s="2250"/>
      <c r="U34" s="1372"/>
      <c r="V34" s="2264" t="str">
        <f>IF(TITLE_DATE_PR_CHANGE="",IF(TITLE_DATE_PR="","",TITLE_DATE_PR),TITLE_DATE_PR_CHANGE)</f>
        <v>46010</v>
      </c>
      <c r="W34" s="2264"/>
      <c r="X34" s="2264"/>
      <c r="Y34" s="2264"/>
      <c r="Z34" s="2264"/>
      <c r="AA34" s="2264"/>
      <c r="AB34" s="2264"/>
      <c r="AC34" s="326"/>
      <c r="AD34" s="2264" t="str">
        <f>IF(TITLE_DATE_PR_CHANGE="",IF(TITLE_DATE_PR="","",TITLE_DATE_PR),TITLE_DATE_PR_CHANGE)</f>
        <v>46010</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431</v>
      </c>
      <c r="T35" s="2250"/>
      <c r="U35" s="1372"/>
      <c r="V35" s="2251" t="str">
        <f>IF(TITLE_NUMBER_PR_CHANGE="",IF(TITLE_NUMBER_PR="","",TITLE_NUMBER_PR),TITLE_NUMBER_PR_CHANGE)</f>
        <v>66</v>
      </c>
      <c r="W35" s="2251"/>
      <c r="X35" s="2251"/>
      <c r="Y35" s="2251"/>
      <c r="Z35" s="2251"/>
      <c r="AA35" s="2251"/>
      <c r="AB35" s="2251"/>
      <c r="AC35" s="326"/>
      <c r="AD35" s="2251" t="str">
        <f>IF(TITLE_NUMBER_PR_CHANGE="",IF(TITLE_NUMBER_PR="","",TITLE_NUMBER_PR),TITLE_NUMBER_PR_CHANGE)</f>
        <v>66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432</v>
      </c>
      <c r="AD36" s="326"/>
      <c r="AE36" s="326"/>
      <c r="AF36" s="326"/>
      <c r="AG36" s="326"/>
      <c r="AH36" s="326"/>
      <c r="AI36" s="326"/>
      <c r="AJ36" s="326"/>
      <c r="AK36" s="278" t="s">
        <v>432</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309</v>
      </c>
      <c r="AS38" s="1155">
        <v>14</v>
      </c>
    </row>
    <row customHeight="1" ht="14.699999999999998">
      <c r="Q39" s="376"/>
      <c r="R39" s="376"/>
      <c r="S39" s="2273" t="s">
        <v>92</v>
      </c>
      <c r="T39" s="2209" t="s">
        <v>433</v>
      </c>
      <c r="U39" s="301"/>
      <c r="V39" s="2274" t="s">
        <v>434</v>
      </c>
      <c r="W39" s="2275"/>
      <c r="X39" s="2291"/>
      <c r="Y39" s="2291"/>
      <c r="Z39" s="2275"/>
      <c r="AA39" s="2275"/>
      <c r="AB39" s="2276"/>
      <c r="AC39" s="2277" t="s">
        <v>435</v>
      </c>
      <c r="AD39" s="2274" t="s">
        <v>434</v>
      </c>
      <c r="AE39" s="2275"/>
      <c r="AF39" s="2291"/>
      <c r="AG39" s="2291"/>
      <c r="AH39" s="2275"/>
      <c r="AI39" s="2275"/>
      <c r="AJ39" s="2276"/>
      <c r="AK39" s="2277" t="s">
        <v>436</v>
      </c>
      <c r="AL39" s="2280" t="s">
        <v>437</v>
      </c>
      <c r="AM39" s="2127"/>
      <c r="AS39" s="1155">
        <v>14</v>
      </c>
    </row>
    <row customHeight="1" ht="24">
      <c r="Q40" s="376"/>
      <c r="R40" s="376"/>
      <c r="S40" s="2273"/>
      <c r="T40" s="2209"/>
      <c r="U40" s="1031"/>
      <c r="V40" s="2292" t="s">
        <v>438</v>
      </c>
      <c r="W40" s="2294" t="s">
        <v>439</v>
      </c>
      <c r="X40" s="1376" t="s">
        <v>440</v>
      </c>
      <c r="Y40" s="1376"/>
      <c r="Z40" s="2269" t="s">
        <v>441</v>
      </c>
      <c r="AA40" s="2269"/>
      <c r="AB40" s="2263"/>
      <c r="AC40" s="2278"/>
      <c r="AD40" s="2292" t="s">
        <v>438</v>
      </c>
      <c r="AE40" s="2294" t="s">
        <v>439</v>
      </c>
      <c r="AF40" s="1376" t="s">
        <v>440</v>
      </c>
      <c r="AG40" s="1376"/>
      <c r="AH40" s="2269" t="s">
        <v>441</v>
      </c>
      <c r="AI40" s="2269"/>
      <c r="AJ40" s="2263"/>
      <c r="AK40" s="2278"/>
      <c r="AL40" s="2281"/>
      <c r="AM40" s="2127"/>
      <c r="AS40" s="1155">
        <v>23</v>
      </c>
    </row>
    <row s="1266" customFormat="1" customHeight="1" ht="24">
      <c r="A41" s="1370"/>
      <c r="B41" s="1370" t="s">
        <v>139</v>
      </c>
      <c r="C41" s="1370" t="s">
        <v>140</v>
      </c>
      <c r="D41" s="1370" t="s">
        <v>141</v>
      </c>
      <c r="E41" s="1364" t="s">
        <v>442</v>
      </c>
      <c r="F41" s="1364" t="s">
        <v>443</v>
      </c>
      <c r="G41" s="1364" t="s">
        <v>444</v>
      </c>
      <c r="H41" s="1364" t="s">
        <v>445</v>
      </c>
      <c r="I41" s="1364" t="s">
        <v>446</v>
      </c>
      <c r="J41" s="1364" t="s">
        <v>447</v>
      </c>
      <c r="K41" s="1364" t="s">
        <v>448</v>
      </c>
      <c r="L41" s="1364" t="s">
        <v>423</v>
      </c>
      <c r="M41" s="1362"/>
      <c r="N41" s="1362"/>
      <c r="O41" s="1362"/>
      <c r="P41" s="1328"/>
      <c r="Q41" s="376"/>
      <c r="R41" s="376"/>
      <c r="S41" s="2273"/>
      <c r="T41" s="2209"/>
      <c r="U41" s="302"/>
      <c r="V41" s="2293"/>
      <c r="W41" s="2295"/>
      <c r="X41" s="1373" t="s">
        <v>449</v>
      </c>
      <c r="Y41" s="1373" t="s">
        <v>450</v>
      </c>
      <c r="Z41" s="1334" t="s">
        <v>451</v>
      </c>
      <c r="AA41" s="2270" t="s">
        <v>452</v>
      </c>
      <c r="AB41" s="2271"/>
      <c r="AC41" s="2279"/>
      <c r="AD41" s="2293"/>
      <c r="AE41" s="2295"/>
      <c r="AF41" s="1373" t="s">
        <v>449</v>
      </c>
      <c r="AG41" s="1373" t="s">
        <v>450</v>
      </c>
      <c r="AH41" s="1334" t="s">
        <v>451</v>
      </c>
      <c r="AI41" s="2270" t="s">
        <v>452</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113</v>
      </c>
      <c r="T42" s="1255" t="s">
        <v>114</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202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127</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202</v>
      </c>
      <c r="B44" s="1363" t="s">
        <v>203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406</v>
      </c>
      <c r="AO44" s="500"/>
      <c r="AP44" s="500" t="str">
        <f>IF(T44="","",T44)</f>
        <v>Территория действия тарифа</v>
      </c>
      <c r="AQ44" s="500"/>
      <c r="AR44" s="500"/>
      <c r="AS44" s="1155">
        <v>21</v>
      </c>
    </row>
    <row customHeight="1" ht="24">
      <c r="A45" s="1363" t="s">
        <v>202</v>
      </c>
      <c r="B45" s="1363" t="s">
        <v>203</v>
      </c>
      <c r="C45" s="1363" t="s">
        <v>204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408</v>
      </c>
      <c r="AO45" s="500"/>
      <c r="AP45" s="500" t="str">
        <f>IF(T45="","",T45)</f>
        <v>Наименование системы теплоснабжения </v>
      </c>
      <c r="AQ45" s="500"/>
      <c r="AR45" s="500"/>
      <c r="AS45" s="1155">
        <v>23</v>
      </c>
    </row>
    <row customHeight="1" ht="22.049999999999997">
      <c r="A46" s="1363" t="s">
        <v>202</v>
      </c>
      <c r="B46" s="1363" t="s">
        <v>203</v>
      </c>
      <c r="C46" s="1363" t="s">
        <v>204</v>
      </c>
      <c r="D46" s="1363" t="s">
        <v>205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410</v>
      </c>
      <c r="AO46" s="500"/>
      <c r="AP46" s="500" t="str">
        <f>IF(T46="","",T46)</f>
        <v>Источник тепловой энергии  </v>
      </c>
      <c r="AQ46" s="500"/>
      <c r="AR46" s="500"/>
      <c r="AS46" s="1155">
        <v>21</v>
      </c>
    </row>
    <row customHeight="1" ht="49.5">
      <c r="A47" s="1363" t="s">
        <v>202</v>
      </c>
      <c r="B47" s="1363" t="s">
        <v>203</v>
      </c>
      <c r="C47" s="1363" t="s">
        <v>204</v>
      </c>
      <c r="D47" s="1363" t="s">
        <v>205</v>
      </c>
      <c r="E47" s="2259"/>
      <c r="F47" s="2259"/>
      <c r="G47" s="2259"/>
      <c r="H47" s="2259"/>
      <c r="I47" s="2256" t="str">
        <f>S46&amp;".1"</f>
        <v>....1</v>
      </c>
      <c r="J47" s="1363"/>
      <c r="K47" s="1363"/>
      <c r="L47" s="1364" t="s">
        <v>411</v>
      </c>
      <c r="P47" s="2257">
        <v>1</v>
      </c>
      <c r="Q47" s="1331"/>
      <c r="R47" s="356"/>
      <c r="S47" s="1336" t="str">
        <f>$I47</f>
        <v>....1</v>
      </c>
      <c r="T47" s="285" t="s">
        <v>412</v>
      </c>
      <c r="U47" s="300"/>
      <c r="V47" s="2245"/>
      <c r="W47" s="2246"/>
      <c r="X47" s="2246"/>
      <c r="Y47" s="2246"/>
      <c r="Z47" s="2246"/>
      <c r="AA47" s="2246"/>
      <c r="AB47" s="2246"/>
      <c r="AC47" s="2247"/>
      <c r="AD47" s="2245"/>
      <c r="AE47" s="2246"/>
      <c r="AF47" s="2246"/>
      <c r="AG47" s="2246"/>
      <c r="AH47" s="2246"/>
      <c r="AI47" s="2246"/>
      <c r="AJ47" s="2246"/>
      <c r="AK47" s="2246"/>
      <c r="AL47" s="2247"/>
      <c r="AM47" s="1258" t="s">
        <v>413</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202</v>
      </c>
      <c r="B48" s="1363" t="s">
        <v>203</v>
      </c>
      <c r="C48" s="1363" t="s">
        <v>204</v>
      </c>
      <c r="D48" s="1363" t="s">
        <v>205</v>
      </c>
      <c r="E48" s="2259"/>
      <c r="F48" s="2259"/>
      <c r="G48" s="2259"/>
      <c r="H48" s="2259"/>
      <c r="I48" s="2286"/>
      <c r="J48" s="2256" t="str">
        <f>I47&amp;".1"</f>
        <v>....1.1</v>
      </c>
      <c r="K48" s="1363"/>
      <c r="L48" s="1364" t="s">
        <v>414</v>
      </c>
      <c r="P48" s="2257"/>
      <c r="Q48" s="2257">
        <v>1</v>
      </c>
      <c r="R48" s="357"/>
      <c r="S48" s="1336" t="str">
        <f>$J48</f>
        <v>....1.1</v>
      </c>
      <c r="T48" s="286" t="s">
        <v>415</v>
      </c>
      <c r="U48" s="300"/>
      <c r="V48" s="2245"/>
      <c r="W48" s="2246"/>
      <c r="X48" s="2246"/>
      <c r="Y48" s="2246"/>
      <c r="Z48" s="2246"/>
      <c r="AA48" s="2246"/>
      <c r="AB48" s="2246"/>
      <c r="AC48" s="2247"/>
      <c r="AD48" s="2245"/>
      <c r="AE48" s="2246"/>
      <c r="AF48" s="2246"/>
      <c r="AG48" s="2246"/>
      <c r="AH48" s="2246"/>
      <c r="AI48" s="2246"/>
      <c r="AJ48" s="2246"/>
      <c r="AK48" s="2246"/>
      <c r="AL48" s="2247"/>
      <c r="AM48" s="1258" t="s">
        <v>416</v>
      </c>
      <c r="AO48" s="500"/>
      <c r="AP48" s="500" t="str">
        <f>IF(T48="","",T48)</f>
        <v>Группа потребителей</v>
      </c>
      <c r="AQ48" s="500"/>
      <c r="AR48" s="500"/>
      <c r="AS48" s="1155">
        <v>21</v>
      </c>
    </row>
    <row customHeight="1" ht="22.049999999999997">
      <c r="A49" s="1363" t="s">
        <v>202</v>
      </c>
      <c r="B49" s="1363" t="s">
        <v>203</v>
      </c>
      <c r="C49" s="1363" t="s">
        <v>204</v>
      </c>
      <c r="D49" s="1363" t="s">
        <v>205</v>
      </c>
      <c r="E49" s="2259"/>
      <c r="F49" s="2259"/>
      <c r="G49" s="2259"/>
      <c r="H49" s="2259"/>
      <c r="I49" s="2286"/>
      <c r="J49" s="2286"/>
      <c r="K49" s="2256" t="str">
        <f>J48&amp;".1"</f>
        <v>....1.1.1</v>
      </c>
      <c r="L49" s="1364" t="s">
        <v>417</v>
      </c>
      <c r="P49" s="2257"/>
      <c r="Q49" s="2257"/>
      <c r="R49" s="357">
        <v>1</v>
      </c>
      <c r="S49" s="1336" t="str">
        <f>$K49</f>
        <v>....1.1.1</v>
      </c>
      <c r="T49" s="1347"/>
      <c r="U49" s="300"/>
      <c r="V49" s="325"/>
      <c r="W49" s="751"/>
      <c r="X49" s="325"/>
      <c r="Y49" s="384"/>
      <c r="Z49" s="2265"/>
      <c r="AA49" s="2107" t="s">
        <v>70</v>
      </c>
      <c r="AB49" s="2265"/>
      <c r="AC49" s="2107" t="s">
        <v>70</v>
      </c>
      <c r="AD49" s="325"/>
      <c r="AE49" s="751"/>
      <c r="AF49" s="325"/>
      <c r="AG49" s="384"/>
      <c r="AH49" s="2265"/>
      <c r="AI49" s="2107" t="s">
        <v>70</v>
      </c>
      <c r="AJ49" s="2287"/>
      <c r="AK49" s="2107" t="s">
        <v>70</v>
      </c>
      <c r="AL49" s="1348"/>
      <c r="AM49" s="2253" t="s">
        <v>418</v>
      </c>
      <c r="AN49" s="511">
        <f>STRCHECKDATE(V50:AL50)</f>
      </c>
      <c r="AO49" s="500"/>
      <c r="AP49" s="500" t="str">
        <f>IF(T49="","",T49)</f>
        <v/>
      </c>
      <c r="AQ49" s="500"/>
      <c r="AR49" s="500"/>
      <c r="AS49" s="1155">
        <v>21</v>
      </c>
    </row>
    <row customHeight="1" ht="1.05">
      <c r="A50" s="1363" t="s">
        <v>202</v>
      </c>
      <c r="B50" s="1363" t="s">
        <v>203</v>
      </c>
      <c r="C50" s="1363" t="s">
        <v>204</v>
      </c>
      <c r="D50" s="1363" t="s">
        <v>205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202</v>
      </c>
      <c r="B51" s="1363" t="s">
        <v>203</v>
      </c>
      <c r="C51" s="1363" t="s">
        <v>204</v>
      </c>
      <c r="D51" s="1363" t="s">
        <v>205</v>
      </c>
      <c r="E51" s="2259"/>
      <c r="F51" s="2259"/>
      <c r="G51" s="2259"/>
      <c r="H51" s="2259"/>
      <c r="I51" s="2286"/>
      <c r="J51" s="2256"/>
      <c r="K51" s="1363"/>
      <c r="L51" s="1364"/>
      <c r="P51" s="2257"/>
      <c r="Q51" s="2257"/>
      <c r="R51" s="356"/>
      <c r="S51" s="1278"/>
      <c r="T51" s="288" t="s">
        <v>419</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202</v>
      </c>
      <c r="B52" s="1363" t="s">
        <v>203</v>
      </c>
      <c r="C52" s="1363" t="s">
        <v>204</v>
      </c>
      <c r="D52" s="1363" t="s">
        <v>205</v>
      </c>
      <c r="E52" s="2259"/>
      <c r="F52" s="2259"/>
      <c r="G52" s="2259"/>
      <c r="H52" s="2259"/>
      <c r="I52" s="2256"/>
      <c r="J52" s="1363"/>
      <c r="K52" s="1363"/>
      <c r="L52" s="1364"/>
      <c r="P52" s="2257"/>
      <c r="Q52" s="1331"/>
      <c r="R52" s="356"/>
      <c r="S52" s="1278"/>
      <c r="T52" s="287" t="s">
        <v>420</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202</v>
      </c>
      <c r="B53" s="1363" t="s">
        <v>203</v>
      </c>
      <c r="C53" s="1363" t="s">
        <v>204</v>
      </c>
      <c r="D53" s="1363" t="s">
        <v>205</v>
      </c>
      <c r="E53" s="2259"/>
      <c r="F53" s="2259"/>
      <c r="G53" s="2259"/>
      <c r="H53" s="2258"/>
      <c r="I53" s="1363"/>
      <c r="J53" s="1363"/>
      <c r="K53" s="1363"/>
      <c r="L53" s="1364"/>
      <c r="M53" s="1365"/>
      <c r="N53" s="1365"/>
      <c r="O53" s="537"/>
      <c r="P53" s="360"/>
      <c r="Q53" s="375"/>
      <c r="R53" s="355"/>
      <c r="S53" s="1278"/>
      <c r="T53" s="365" t="s">
        <v>421</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202</v>
      </c>
      <c r="B54" s="1343" t="s">
        <v>203</v>
      </c>
      <c r="C54" s="1343" t="s">
        <v>204</v>
      </c>
      <c r="D54" s="1314"/>
      <c r="E54" s="2259"/>
      <c r="F54" s="2259"/>
      <c r="G54" s="2258"/>
      <c r="H54" s="1314"/>
      <c r="I54" s="1314"/>
      <c r="J54" s="1314"/>
      <c r="K54" s="1314"/>
      <c r="L54" s="1339"/>
      <c r="M54" s="1315"/>
      <c r="N54" s="1315"/>
      <c r="P54" s="1316"/>
      <c r="Q54" s="1317"/>
      <c r="R54" s="1316"/>
      <c r="S54" s="1322"/>
      <c r="T54" s="1325" t="s">
        <v>172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202</v>
      </c>
      <c r="B55" s="1343" t="s">
        <v>203</v>
      </c>
      <c r="C55" s="1314"/>
      <c r="D55" s="1314"/>
      <c r="E55" s="2259"/>
      <c r="F55" s="2258"/>
      <c r="G55" s="1314"/>
      <c r="H55" s="1314"/>
      <c r="I55" s="1314"/>
      <c r="J55" s="1314"/>
      <c r="K55" s="1314"/>
      <c r="L55" s="1339"/>
      <c r="M55" s="1321"/>
      <c r="N55" s="1321"/>
      <c r="P55" s="1316"/>
      <c r="Q55" s="1317"/>
      <c r="R55" s="1316"/>
      <c r="S55" s="1322"/>
      <c r="T55" s="1325" t="s">
        <v>173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202</v>
      </c>
      <c r="B56" s="1343"/>
      <c r="C56" s="1343"/>
      <c r="D56" s="1343"/>
      <c r="E56" s="2258"/>
      <c r="F56" s="1343"/>
      <c r="G56" s="1343"/>
      <c r="H56" s="1343"/>
      <c r="I56" s="1343"/>
      <c r="J56" s="1343"/>
      <c r="K56" s="1343"/>
      <c r="L56" s="1346"/>
      <c r="M56" s="1321"/>
      <c r="N56" s="1321"/>
      <c r="O56" s="518"/>
      <c r="P56" s="380"/>
      <c r="Q56" s="1344"/>
      <c r="R56" s="380"/>
      <c r="S56" s="1322"/>
      <c r="T56" s="1325" t="s">
        <v>174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175</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86</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7A95AB-CD88-C148-1847-FD242AD78A8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127</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404</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406</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408</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410</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411</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414</v>
      </c>
      <c r="M7" s="537"/>
      <c r="N7" s="1366"/>
      <c r="P7" s="2257"/>
      <c r="Q7" s="2257">
        <v>1</v>
      </c>
      <c r="R7" s="357"/>
      <c r="S7" s="1336">
        <f>$J7</f>
      </c>
      <c r="T7" s="286" t="s">
        <v>415</v>
      </c>
      <c r="U7" s="300"/>
      <c r="V7" s="2245"/>
      <c r="W7" s="2246"/>
      <c r="X7" s="2246"/>
      <c r="Y7" s="2246"/>
      <c r="Z7" s="2246"/>
      <c r="AA7" s="2246"/>
      <c r="AB7" s="2246"/>
      <c r="AC7" s="2247"/>
      <c r="AD7" s="2245"/>
      <c r="AE7" s="2246"/>
      <c r="AF7" s="2246"/>
      <c r="AG7" s="2246"/>
      <c r="AH7" s="2246"/>
      <c r="AI7" s="2246"/>
      <c r="AJ7" s="2246"/>
      <c r="AK7" s="2246"/>
      <c r="AL7" s="2247"/>
      <c r="AM7" s="1258" t="s">
        <v>416</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417</v>
      </c>
      <c r="M8" s="537"/>
      <c r="N8" s="1366"/>
      <c r="O8" s="1366"/>
      <c r="P8" s="2257"/>
      <c r="Q8" s="2257"/>
      <c r="R8" s="357">
        <v>1</v>
      </c>
      <c r="S8" s="1336">
        <f>$K8</f>
      </c>
      <c r="T8" s="1347"/>
      <c r="U8" s="300"/>
      <c r="V8" s="751"/>
      <c r="W8" s="325"/>
      <c r="X8" s="751"/>
      <c r="Y8" s="1257"/>
      <c r="Z8" s="2265"/>
      <c r="AA8" s="2107" t="s">
        <v>70</v>
      </c>
      <c r="AB8" s="2265"/>
      <c r="AC8" s="2107" t="s">
        <v>70</v>
      </c>
      <c r="AD8" s="751"/>
      <c r="AE8" s="325"/>
      <c r="AF8" s="751"/>
      <c r="AG8" s="1257"/>
      <c r="AH8" s="2265"/>
      <c r="AI8" s="2107" t="s">
        <v>70</v>
      </c>
      <c r="AJ8" s="2265"/>
      <c r="AK8" s="2107" t="s">
        <v>70</v>
      </c>
      <c r="AL8" s="325"/>
      <c r="AM8" s="2253" t="s">
        <v>418</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419</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420</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172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173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174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70</v>
      </c>
      <c r="AJ17" s="2267"/>
      <c r="AK17" s="2268" t="s">
        <v>70</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422</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423</v>
      </c>
      <c r="P22" s="1362"/>
      <c r="Q22" s="1371"/>
      <c r="R22" s="1371"/>
      <c r="S22" s="729"/>
      <c r="T22" s="1160" t="s">
        <v>424</v>
      </c>
      <c r="AA22" s="186" t="s">
        <v>425</v>
      </c>
      <c r="AC22" s="186" t="s">
        <v>426</v>
      </c>
      <c r="AD22" s="1160" t="s">
        <v>424</v>
      </c>
      <c r="AI22" s="186" t="s">
        <v>427</v>
      </c>
      <c r="AK22" s="186" t="s">
        <v>426</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ООО "Энерго-Сервис"</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Комитет по тарифам и ценам Курской области</v>
      </c>
      <c r="W29" s="2251"/>
      <c r="X29" s="2251"/>
      <c r="Y29" s="2251"/>
      <c r="Z29" s="2251"/>
      <c r="AA29" s="2251"/>
      <c r="AB29" s="2251"/>
      <c r="AC29" s="326"/>
      <c r="AD29" s="2251" t="str">
        <f>IF(TITLE_NAME_OR_PR_CHANGE="",IF(TITLE_NAME_OR_PR="","",TITLE_NAME_OR_PR),TITLE_NAME_OR_PR_CHANGE)</f>
        <v>Комитет по тарифам и ценам Курской области</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428</v>
      </c>
      <c r="T30" s="2250"/>
      <c r="U30" s="1372"/>
      <c r="V30" s="2264" t="str">
        <f>IF(TITLE_DATE_PR_CHANGE="",IF(TITLE_DATE_PR="","",TITLE_DATE_PR),TITLE_DATE_PR_CHANGE)</f>
        <v>46010</v>
      </c>
      <c r="W30" s="2264"/>
      <c r="X30" s="2264"/>
      <c r="Y30" s="2264"/>
      <c r="Z30" s="2264"/>
      <c r="AA30" s="2264"/>
      <c r="AB30" s="2264"/>
      <c r="AC30" s="326"/>
      <c r="AD30" s="2264" t="str">
        <f>IF(TITLE_DATE_PR_CHANGE="",IF(TITLE_DATE_PR="","",TITLE_DATE_PR),TITLE_DATE_PR_CHANGE)</f>
        <v>46010</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429</v>
      </c>
      <c r="T31" s="2250"/>
      <c r="U31" s="1372"/>
      <c r="V31" s="2251" t="str">
        <f>IF(TITLE_NUMBER_PR_CHANGE="",IF(TITLE_NUMBER_PR="","",TITLE_NUMBER_PR),TITLE_NUMBER_PR_CHANGE)</f>
        <v>66</v>
      </c>
      <c r="W31" s="2251"/>
      <c r="X31" s="2251"/>
      <c r="Y31" s="2251"/>
      <c r="Z31" s="2251"/>
      <c r="AA31" s="2251"/>
      <c r="AB31" s="2251"/>
      <c r="AC31" s="326"/>
      <c r="AD31" s="2251" t="str">
        <f>IF(TITLE_NUMBER_PR_CHANGE="",IF(TITLE_NUMBER_PR="","",TITLE_NUMBER_PR),TITLE_NUMBER_PR_CHANGE)</f>
        <v>66</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https://kurskpravo.ru/accepted-npa-prewev/2528</v>
      </c>
      <c r="W32" s="2251"/>
      <c r="X32" s="2251"/>
      <c r="Y32" s="2251"/>
      <c r="Z32" s="2251"/>
      <c r="AA32" s="2251"/>
      <c r="AB32" s="2251"/>
      <c r="AC32" s="326"/>
      <c r="AD32" s="2251" t="str">
        <f>IF(TITLE_IST_PUB_CHANGE="",IF(TITLE_IST_PUB="","",TITLE_IST_PUB),TITLE_IST_PUB_CHANGE)</f>
        <v>https://kurskpravo.ru/accepted-npa-prewev/2528</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430</v>
      </c>
      <c r="T34" s="2250"/>
      <c r="U34" s="1372"/>
      <c r="V34" s="2264" t="str">
        <f>IF(TITLE_DATE_PR_CHANGE="",IF(TITLE_DATE_PR="","",TITLE_DATE_PR),TITLE_DATE_PR_CHANGE)</f>
        <v>46010</v>
      </c>
      <c r="W34" s="2264"/>
      <c r="X34" s="2264"/>
      <c r="Y34" s="2264"/>
      <c r="Z34" s="2264"/>
      <c r="AA34" s="2264"/>
      <c r="AB34" s="2264"/>
      <c r="AC34" s="326"/>
      <c r="AD34" s="2264" t="str">
        <f>IF(TITLE_DATE_PR_CHANGE="",IF(TITLE_DATE_PR="","",TITLE_DATE_PR),TITLE_DATE_PR_CHANGE)</f>
        <v>46010</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431</v>
      </c>
      <c r="T35" s="2250"/>
      <c r="U35" s="1372"/>
      <c r="V35" s="2251" t="str">
        <f>IF(TITLE_NUMBER_PR_CHANGE="",IF(TITLE_NUMBER_PR="","",TITLE_NUMBER_PR),TITLE_NUMBER_PR_CHANGE)</f>
        <v>66</v>
      </c>
      <c r="W35" s="2251"/>
      <c r="X35" s="2251"/>
      <c r="Y35" s="2251"/>
      <c r="Z35" s="2251"/>
      <c r="AA35" s="2251"/>
      <c r="AB35" s="2251"/>
      <c r="AC35" s="326"/>
      <c r="AD35" s="2251" t="str">
        <f>IF(TITLE_NUMBER_PR_CHANGE="",IF(TITLE_NUMBER_PR="","",TITLE_NUMBER_PR),TITLE_NUMBER_PR_CHANGE)</f>
        <v>66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432</v>
      </c>
      <c r="AD36" s="326"/>
      <c r="AE36" s="326"/>
      <c r="AF36" s="326"/>
      <c r="AG36" s="326"/>
      <c r="AH36" s="326"/>
      <c r="AI36" s="326"/>
      <c r="AJ36" s="326"/>
      <c r="AK36" s="278" t="s">
        <v>432</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309</v>
      </c>
      <c r="AS38" s="1155">
        <v>14</v>
      </c>
    </row>
    <row customHeight="1" ht="14.699999999999998">
      <c r="Q39" s="376"/>
      <c r="R39" s="376"/>
      <c r="S39" s="2273" t="s">
        <v>92</v>
      </c>
      <c r="T39" s="2209" t="s">
        <v>433</v>
      </c>
      <c r="U39" s="301"/>
      <c r="V39" s="2274" t="s">
        <v>434</v>
      </c>
      <c r="W39" s="2275"/>
      <c r="X39" s="2275"/>
      <c r="Y39" s="2275"/>
      <c r="Z39" s="2275"/>
      <c r="AA39" s="2275"/>
      <c r="AB39" s="2276"/>
      <c r="AC39" s="2277" t="s">
        <v>435</v>
      </c>
      <c r="AD39" s="2274" t="s">
        <v>434</v>
      </c>
      <c r="AE39" s="2275"/>
      <c r="AF39" s="2275"/>
      <c r="AG39" s="2275"/>
      <c r="AH39" s="2275"/>
      <c r="AI39" s="2275"/>
      <c r="AJ39" s="2276"/>
      <c r="AK39" s="2277" t="s">
        <v>436</v>
      </c>
      <c r="AL39" s="2280" t="s">
        <v>437</v>
      </c>
      <c r="AM39" s="2127"/>
      <c r="AS39" s="1155">
        <v>14</v>
      </c>
    </row>
    <row customHeight="1" ht="35.699999999999996">
      <c r="Q40" s="376"/>
      <c r="R40" s="376"/>
      <c r="S40" s="2273"/>
      <c r="T40" s="2209"/>
      <c r="U40" s="1031"/>
      <c r="V40" s="2260" t="s">
        <v>438</v>
      </c>
      <c r="W40" s="2283"/>
      <c r="X40" s="2262" t="s">
        <v>440</v>
      </c>
      <c r="Y40" s="2263"/>
      <c r="Z40" s="2262" t="s">
        <v>441</v>
      </c>
      <c r="AA40" s="2269"/>
      <c r="AB40" s="2263"/>
      <c r="AC40" s="2278"/>
      <c r="AD40" s="2260" t="s">
        <v>458</v>
      </c>
      <c r="AE40" s="2283"/>
      <c r="AF40" s="2262" t="s">
        <v>440</v>
      </c>
      <c r="AG40" s="2263"/>
      <c r="AH40" s="2262" t="s">
        <v>441</v>
      </c>
      <c r="AI40" s="2269"/>
      <c r="AJ40" s="2263"/>
      <c r="AK40" s="2278"/>
      <c r="AL40" s="2281"/>
      <c r="AM40" s="2127"/>
      <c r="AS40" s="1155">
        <v>34</v>
      </c>
    </row>
    <row customHeight="1" ht="35.699999999999996">
      <c r="A41" s="1370"/>
      <c r="B41" s="1370" t="s">
        <v>139</v>
      </c>
      <c r="C41" s="1370" t="s">
        <v>140</v>
      </c>
      <c r="D41" s="1370" t="s">
        <v>141</v>
      </c>
      <c r="E41" s="1364" t="s">
        <v>442</v>
      </c>
      <c r="F41" s="1364" t="s">
        <v>443</v>
      </c>
      <c r="G41" s="1364" t="s">
        <v>444</v>
      </c>
      <c r="H41" s="1364" t="s">
        <v>445</v>
      </c>
      <c r="I41" s="1364" t="s">
        <v>446</v>
      </c>
      <c r="J41" s="1364" t="s">
        <v>447</v>
      </c>
      <c r="K41" s="1364" t="s">
        <v>448</v>
      </c>
      <c r="L41" s="1364" t="s">
        <v>423</v>
      </c>
      <c r="Q41" s="376"/>
      <c r="R41" s="376"/>
      <c r="S41" s="2273"/>
      <c r="T41" s="2209"/>
      <c r="U41" s="302"/>
      <c r="V41" s="2261"/>
      <c r="W41" s="2284"/>
      <c r="X41" s="1222" t="s">
        <v>449</v>
      </c>
      <c r="Y41" s="1222" t="s">
        <v>450</v>
      </c>
      <c r="Z41" s="1338" t="s">
        <v>451</v>
      </c>
      <c r="AA41" s="2270" t="s">
        <v>452</v>
      </c>
      <c r="AB41" s="2271"/>
      <c r="AC41" s="2279"/>
      <c r="AD41" s="2261"/>
      <c r="AE41" s="2284"/>
      <c r="AF41" s="1222" t="s">
        <v>449</v>
      </c>
      <c r="AG41" s="1222" t="s">
        <v>450</v>
      </c>
      <c r="AH41" s="1338" t="s">
        <v>451</v>
      </c>
      <c r="AI41" s="2270" t="s">
        <v>452</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113</v>
      </c>
      <c r="T42" s="1255" t="s">
        <v>114</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178</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127</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178</v>
      </c>
      <c r="B44" s="1363" t="s">
        <v>179</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406</v>
      </c>
      <c r="AO44" s="500"/>
      <c r="AP44" s="500" t="str">
        <f>IF(T44="","",T44)</f>
        <v>Территория действия тарифа</v>
      </c>
      <c r="AQ44" s="500"/>
      <c r="AR44" s="500"/>
      <c r="AS44" s="1155">
        <v>21</v>
      </c>
    </row>
    <row customHeight="1" ht="24">
      <c r="A45" s="1363" t="s">
        <v>178</v>
      </c>
      <c r="B45" s="1363" t="s">
        <v>179</v>
      </c>
      <c r="C45" s="1363" t="s">
        <v>180</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408</v>
      </c>
      <c r="AO45" s="500"/>
      <c r="AP45" s="500" t="str">
        <f>IF(T45="","",T45)</f>
        <v>Наименование системы теплоснабжения </v>
      </c>
      <c r="AQ45" s="500"/>
      <c r="AR45" s="500"/>
      <c r="AS45" s="1155">
        <v>23</v>
      </c>
    </row>
    <row customHeight="1" ht="22.049999999999997">
      <c r="A46" s="1363" t="s">
        <v>178</v>
      </c>
      <c r="B46" s="1363" t="s">
        <v>179</v>
      </c>
      <c r="C46" s="1363" t="s">
        <v>180</v>
      </c>
      <c r="D46" s="1363" t="s">
        <v>181</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410</v>
      </c>
      <c r="AO46" s="500"/>
      <c r="AP46" s="500" t="str">
        <f>IF(T46="","",T46)</f>
        <v>Источник тепловой энергии  </v>
      </c>
      <c r="AQ46" s="500"/>
      <c r="AR46" s="500"/>
      <c r="AS46" s="1155">
        <v>21</v>
      </c>
    </row>
    <row s="1642" customFormat="1" customHeight="1" ht="0">
      <c r="A47" s="1343" t="s">
        <v>178</v>
      </c>
      <c r="B47" s="1343" t="s">
        <v>179</v>
      </c>
      <c r="C47" s="1343" t="s">
        <v>180</v>
      </c>
      <c r="D47" s="1343" t="s">
        <v>181</v>
      </c>
      <c r="E47" s="2259"/>
      <c r="F47" s="2259"/>
      <c r="G47" s="2259"/>
      <c r="H47" s="2259"/>
      <c r="I47" s="2256" t="str">
        <f>S46&amp;".1"</f>
        <v>....1</v>
      </c>
      <c r="J47" s="1343"/>
      <c r="K47" s="1343"/>
      <c r="L47" s="1346" t="s">
        <v>411</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178</v>
      </c>
      <c r="B48" s="1363" t="s">
        <v>179</v>
      </c>
      <c r="C48" s="1363" t="s">
        <v>180</v>
      </c>
      <c r="D48" s="1363" t="s">
        <v>181</v>
      </c>
      <c r="E48" s="2259"/>
      <c r="F48" s="2259"/>
      <c r="G48" s="2259"/>
      <c r="H48" s="2259"/>
      <c r="I48" s="2286"/>
      <c r="J48" s="2256" t="str">
        <f>S46&amp;".1"</f>
        <v>....1</v>
      </c>
      <c r="K48" s="1363"/>
      <c r="L48" s="1364" t="s">
        <v>414</v>
      </c>
      <c r="P48" s="2257"/>
      <c r="Q48" s="2257">
        <v>1</v>
      </c>
      <c r="R48" s="357"/>
      <c r="S48" s="1336" t="str">
        <f>$J48</f>
        <v>....1</v>
      </c>
      <c r="T48" s="286" t="s">
        <v>415</v>
      </c>
      <c r="U48" s="300"/>
      <c r="V48" s="2245"/>
      <c r="W48" s="2246"/>
      <c r="X48" s="2246"/>
      <c r="Y48" s="2246"/>
      <c r="Z48" s="2246"/>
      <c r="AA48" s="2246"/>
      <c r="AB48" s="2246"/>
      <c r="AC48" s="2247"/>
      <c r="AD48" s="2245"/>
      <c r="AE48" s="2246"/>
      <c r="AF48" s="2246"/>
      <c r="AG48" s="2246"/>
      <c r="AH48" s="2246"/>
      <c r="AI48" s="2246"/>
      <c r="AJ48" s="2246"/>
      <c r="AK48" s="2246"/>
      <c r="AL48" s="2247"/>
      <c r="AM48" s="1258" t="s">
        <v>416</v>
      </c>
      <c r="AO48" s="500"/>
      <c r="AP48" s="500" t="str">
        <f>IF(T48="","",T48)</f>
        <v>Группа потребителей</v>
      </c>
      <c r="AQ48" s="500"/>
      <c r="AR48" s="500"/>
      <c r="AS48" s="1155">
        <v>21</v>
      </c>
    </row>
    <row customHeight="1" ht="22.049999999999997">
      <c r="A49" s="1363" t="s">
        <v>178</v>
      </c>
      <c r="B49" s="1363" t="s">
        <v>179</v>
      </c>
      <c r="C49" s="1363" t="s">
        <v>180</v>
      </c>
      <c r="D49" s="1363" t="s">
        <v>181</v>
      </c>
      <c r="E49" s="2259"/>
      <c r="F49" s="2259"/>
      <c r="G49" s="2259"/>
      <c r="H49" s="2259"/>
      <c r="I49" s="2286"/>
      <c r="J49" s="2286"/>
      <c r="K49" s="2256" t="str">
        <f>J48&amp;".1"</f>
        <v>....1.1</v>
      </c>
      <c r="L49" s="1364" t="s">
        <v>417</v>
      </c>
      <c r="P49" s="2257"/>
      <c r="Q49" s="2257"/>
      <c r="R49" s="357">
        <v>1</v>
      </c>
      <c r="S49" s="1336" t="str">
        <f>$K49</f>
        <v>....1.1</v>
      </c>
      <c r="T49" s="1347"/>
      <c r="U49" s="300"/>
      <c r="V49" s="751"/>
      <c r="W49" s="325"/>
      <c r="X49" s="751"/>
      <c r="Y49" s="1257"/>
      <c r="Z49" s="2265"/>
      <c r="AA49" s="2107" t="s">
        <v>70</v>
      </c>
      <c r="AB49" s="2265"/>
      <c r="AC49" s="2107" t="s">
        <v>70</v>
      </c>
      <c r="AD49" s="751"/>
      <c r="AE49" s="325"/>
      <c r="AF49" s="751"/>
      <c r="AG49" s="1257"/>
      <c r="AH49" s="2265"/>
      <c r="AI49" s="2107" t="s">
        <v>70</v>
      </c>
      <c r="AJ49" s="2287"/>
      <c r="AK49" s="2107" t="s">
        <v>70</v>
      </c>
      <c r="AL49" s="1348"/>
      <c r="AM49" s="2253" t="s">
        <v>459</v>
      </c>
      <c r="AN49" s="511">
        <f>STRCHECKDATE(V50:AL50)</f>
      </c>
      <c r="AO49" s="500"/>
      <c r="AP49" s="500" t="str">
        <f>IF(T49="","",T49)</f>
        <v/>
      </c>
      <c r="AQ49" s="500"/>
      <c r="AR49" s="500"/>
      <c r="AS49" s="1155">
        <v>21</v>
      </c>
    </row>
    <row customHeight="1" ht="1.05">
      <c r="A50" s="1363" t="s">
        <v>178</v>
      </c>
      <c r="B50" s="1363" t="s">
        <v>179</v>
      </c>
      <c r="C50" s="1363" t="s">
        <v>180</v>
      </c>
      <c r="D50" s="1363" t="s">
        <v>181</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178</v>
      </c>
      <c r="B51" s="1363" t="s">
        <v>179</v>
      </c>
      <c r="C51" s="1363" t="s">
        <v>180</v>
      </c>
      <c r="D51" s="1363" t="s">
        <v>181</v>
      </c>
      <c r="E51" s="2259"/>
      <c r="F51" s="2259"/>
      <c r="G51" s="2259"/>
      <c r="H51" s="2259"/>
      <c r="I51" s="2286"/>
      <c r="J51" s="2256"/>
      <c r="K51" s="1363"/>
      <c r="L51" s="1364"/>
      <c r="P51" s="2257"/>
      <c r="Q51" s="2257"/>
      <c r="R51" s="356"/>
      <c r="S51" s="1278"/>
      <c r="T51" s="287" t="s">
        <v>419</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178</v>
      </c>
      <c r="B52" s="1363" t="s">
        <v>179</v>
      </c>
      <c r="C52" s="1363" t="s">
        <v>180</v>
      </c>
      <c r="D52" s="1363" t="s">
        <v>181</v>
      </c>
      <c r="E52" s="2259"/>
      <c r="F52" s="2259"/>
      <c r="G52" s="2259"/>
      <c r="H52" s="2259"/>
      <c r="I52" s="2256"/>
      <c r="J52" s="1363"/>
      <c r="K52" s="1363"/>
      <c r="L52" s="1364"/>
      <c r="P52" s="2257"/>
      <c r="Q52" s="1331"/>
      <c r="R52" s="356"/>
      <c r="S52" s="1278"/>
      <c r="T52" s="365" t="s">
        <v>420</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178</v>
      </c>
      <c r="B53" s="1363" t="s">
        <v>179</v>
      </c>
      <c r="C53" s="1363" t="s">
        <v>180</v>
      </c>
      <c r="D53" s="1363" t="s">
        <v>181</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178</v>
      </c>
      <c r="B54" s="1343" t="s">
        <v>179</v>
      </c>
      <c r="C54" s="1343" t="s">
        <v>180</v>
      </c>
      <c r="D54" s="1314"/>
      <c r="E54" s="2259"/>
      <c r="F54" s="2259"/>
      <c r="G54" s="2258"/>
      <c r="H54" s="1314"/>
      <c r="I54" s="1314"/>
      <c r="J54" s="1314"/>
      <c r="K54" s="1314"/>
      <c r="L54" s="1339"/>
      <c r="M54" s="1315"/>
      <c r="N54" s="1315"/>
      <c r="P54" s="1316"/>
      <c r="Q54" s="1317"/>
      <c r="R54" s="1316"/>
      <c r="S54" s="1322"/>
      <c r="T54" s="1325" t="s">
        <v>172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178</v>
      </c>
      <c r="B55" s="1343" t="s">
        <v>179</v>
      </c>
      <c r="C55" s="1314"/>
      <c r="D55" s="1314"/>
      <c r="E55" s="2259"/>
      <c r="F55" s="2258"/>
      <c r="G55" s="1314"/>
      <c r="H55" s="1314"/>
      <c r="I55" s="1314"/>
      <c r="J55" s="1314"/>
      <c r="K55" s="1314"/>
      <c r="L55" s="1339"/>
      <c r="M55" s="1321"/>
      <c r="N55" s="1321"/>
      <c r="P55" s="1316"/>
      <c r="Q55" s="1317"/>
      <c r="R55" s="1316"/>
      <c r="S55" s="1322"/>
      <c r="T55" s="1325" t="s">
        <v>173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178</v>
      </c>
      <c r="B56" s="1343"/>
      <c r="C56" s="1343"/>
      <c r="D56" s="1343"/>
      <c r="E56" s="2258"/>
      <c r="F56" s="1343"/>
      <c r="G56" s="1343"/>
      <c r="H56" s="1343"/>
      <c r="I56" s="1343"/>
      <c r="J56" s="1343"/>
      <c r="K56" s="1343"/>
      <c r="L56" s="1346"/>
      <c r="M56" s="1321"/>
      <c r="N56" s="1321"/>
      <c r="O56" s="518"/>
      <c r="P56" s="380"/>
      <c r="Q56" s="1344"/>
      <c r="R56" s="380"/>
      <c r="S56" s="1322"/>
      <c r="T56" s="1325" t="s">
        <v>174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175</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86</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EC3998-E417-CA3E-B138-C72AD4672EAD}"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127</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404</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406</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407</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408</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409</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410</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411</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414</v>
      </c>
      <c r="M7" s="537"/>
      <c r="N7" s="1366"/>
      <c r="P7" s="2257"/>
      <c r="Q7" s="2257">
        <v>1</v>
      </c>
      <c r="R7" s="1642"/>
      <c r="S7" s="2007">
        <f>$J7</f>
      </c>
      <c r="T7" s="286" t="s">
        <v>415</v>
      </c>
      <c r="U7" s="300"/>
      <c r="V7" s="2305"/>
      <c r="W7" s="2305"/>
      <c r="X7" s="2305"/>
      <c r="Y7" s="2305"/>
      <c r="Z7" s="2305"/>
      <c r="AA7" s="2305"/>
      <c r="AB7" s="2305"/>
      <c r="AC7" s="2305"/>
      <c r="AD7" s="2305"/>
      <c r="AE7" s="2305"/>
      <c r="AF7" s="2305"/>
      <c r="AG7" s="2305"/>
      <c r="AH7" s="2305"/>
      <c r="AI7" s="2305"/>
      <c r="AJ7" s="2305"/>
      <c r="AK7" s="2305"/>
      <c r="AL7" s="2305"/>
      <c r="AM7" s="2010" t="s">
        <v>416</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417</v>
      </c>
      <c r="M8" s="537"/>
      <c r="N8" s="1366"/>
      <c r="O8" s="1366"/>
      <c r="P8" s="2257"/>
      <c r="Q8" s="2257"/>
      <c r="R8" s="357">
        <v>1</v>
      </c>
      <c r="S8" s="2009">
        <f>$K8</f>
      </c>
      <c r="T8" s="2014"/>
      <c r="U8" s="2015"/>
      <c r="V8" s="2016"/>
      <c r="W8" s="1349"/>
      <c r="X8" s="2016"/>
      <c r="Y8" s="2017"/>
      <c r="Z8" s="2306"/>
      <c r="AA8" s="2112" t="s">
        <v>70</v>
      </c>
      <c r="AB8" s="2306"/>
      <c r="AC8" s="2112" t="s">
        <v>70</v>
      </c>
      <c r="AD8" s="2016"/>
      <c r="AE8" s="1349"/>
      <c r="AF8" s="2016"/>
      <c r="AG8" s="2017"/>
      <c r="AH8" s="2306"/>
      <c r="AI8" s="2112" t="s">
        <v>70</v>
      </c>
      <c r="AJ8" s="2306"/>
      <c r="AK8" s="2112" t="s">
        <v>70</v>
      </c>
      <c r="AL8" s="1349"/>
      <c r="AM8" s="2253" t="s">
        <v>418</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419</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420</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172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173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174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70</v>
      </c>
      <c r="AJ17" s="2267"/>
      <c r="AK17" s="2268" t="s">
        <v>70</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422</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423</v>
      </c>
      <c r="P22" s="1362"/>
      <c r="Q22" s="1371"/>
      <c r="R22" s="1371"/>
      <c r="S22" s="729"/>
      <c r="T22" s="1160" t="s">
        <v>424</v>
      </c>
      <c r="AA22" s="186" t="s">
        <v>425</v>
      </c>
      <c r="AC22" s="186" t="s">
        <v>426</v>
      </c>
      <c r="AD22" s="1160" t="s">
        <v>424</v>
      </c>
      <c r="AI22" s="186" t="s">
        <v>427</v>
      </c>
      <c r="AK22" s="186" t="s">
        <v>426</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ООО "Энерго-Сервис"</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Комитет по тарифам и ценам Курской области</v>
      </c>
      <c r="W29" s="2251"/>
      <c r="X29" s="2251"/>
      <c r="Y29" s="2251"/>
      <c r="Z29" s="2251"/>
      <c r="AA29" s="2251"/>
      <c r="AB29" s="2251"/>
      <c r="AC29" s="326"/>
      <c r="AD29" s="2251" t="str">
        <f>IF(TITLE_NAME_OR_PR_CHANGE="",IF(TITLE_NAME_OR_PR="","",TITLE_NAME_OR_PR),TITLE_NAME_OR_PR_CHANGE)</f>
        <v>Комитет по тарифам и ценам Курской области</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428</v>
      </c>
      <c r="T30" s="2250"/>
      <c r="U30" s="1372"/>
      <c r="V30" s="2264" t="str">
        <f>IF(TITLE_DATE_PR_CHANGE="",IF(TITLE_DATE_PR="","",TITLE_DATE_PR),TITLE_DATE_PR_CHANGE)</f>
        <v>46010</v>
      </c>
      <c r="W30" s="2264"/>
      <c r="X30" s="2264"/>
      <c r="Y30" s="2264"/>
      <c r="Z30" s="2264"/>
      <c r="AA30" s="2264"/>
      <c r="AB30" s="2264"/>
      <c r="AC30" s="326"/>
      <c r="AD30" s="2264" t="str">
        <f>IF(TITLE_DATE_PR_CHANGE="",IF(TITLE_DATE_PR="","",TITLE_DATE_PR),TITLE_DATE_PR_CHANGE)</f>
        <v>46010</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429</v>
      </c>
      <c r="T31" s="2250"/>
      <c r="U31" s="1372"/>
      <c r="V31" s="2251" t="str">
        <f>IF(TITLE_NUMBER_PR_CHANGE="",IF(TITLE_NUMBER_PR="","",TITLE_NUMBER_PR),TITLE_NUMBER_PR_CHANGE)</f>
        <v>66</v>
      </c>
      <c r="W31" s="2251"/>
      <c r="X31" s="2251"/>
      <c r="Y31" s="2251"/>
      <c r="Z31" s="2251"/>
      <c r="AA31" s="2251"/>
      <c r="AB31" s="2251"/>
      <c r="AC31" s="326"/>
      <c r="AD31" s="2251" t="str">
        <f>IF(TITLE_NUMBER_PR_CHANGE="",IF(TITLE_NUMBER_PR="","",TITLE_NUMBER_PR),TITLE_NUMBER_PR_CHANGE)</f>
        <v>66</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https://kurskpravo.ru/accepted-npa-prewev/2528</v>
      </c>
      <c r="W32" s="2251"/>
      <c r="X32" s="2251"/>
      <c r="Y32" s="2251"/>
      <c r="Z32" s="2251"/>
      <c r="AA32" s="2251"/>
      <c r="AB32" s="2251"/>
      <c r="AC32" s="326"/>
      <c r="AD32" s="2251" t="str">
        <f>IF(TITLE_IST_PUB_CHANGE="",IF(TITLE_IST_PUB="","",TITLE_IST_PUB),TITLE_IST_PUB_CHANGE)</f>
        <v>https://kurskpravo.ru/accepted-npa-prewev/2528</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430</v>
      </c>
      <c r="T34" s="2250"/>
      <c r="U34" s="1372"/>
      <c r="V34" s="2264" t="str">
        <f>IF(TITLE_DATE_PR_CHANGE="",IF(TITLE_DATE_PR="","",TITLE_DATE_PR),TITLE_DATE_PR_CHANGE)</f>
        <v>46010</v>
      </c>
      <c r="W34" s="2264"/>
      <c r="X34" s="2264"/>
      <c r="Y34" s="2264"/>
      <c r="Z34" s="2264"/>
      <c r="AA34" s="2264"/>
      <c r="AB34" s="2264"/>
      <c r="AC34" s="326"/>
      <c r="AD34" s="2264" t="str">
        <f>IF(TITLE_DATE_PR_CHANGE="",IF(TITLE_DATE_PR="","",TITLE_DATE_PR),TITLE_DATE_PR_CHANGE)</f>
        <v>46010</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431</v>
      </c>
      <c r="T35" s="2250"/>
      <c r="U35" s="1372"/>
      <c r="V35" s="2251" t="str">
        <f>IF(TITLE_NUMBER_PR_CHANGE="",IF(TITLE_NUMBER_PR="","",TITLE_NUMBER_PR),TITLE_NUMBER_PR_CHANGE)</f>
        <v>66</v>
      </c>
      <c r="W35" s="2251"/>
      <c r="X35" s="2251"/>
      <c r="Y35" s="2251"/>
      <c r="Z35" s="2251"/>
      <c r="AA35" s="2251"/>
      <c r="AB35" s="2251"/>
      <c r="AC35" s="326"/>
      <c r="AD35" s="2251" t="str">
        <f>IF(TITLE_NUMBER_PR_CHANGE="",IF(TITLE_NUMBER_PR="","",TITLE_NUMBER_PR),TITLE_NUMBER_PR_CHANGE)</f>
        <v>66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432</v>
      </c>
      <c r="AD36" s="326"/>
      <c r="AE36" s="326"/>
      <c r="AF36" s="326"/>
      <c r="AG36" s="326"/>
      <c r="AH36" s="326"/>
      <c r="AI36" s="326"/>
      <c r="AJ36" s="326"/>
      <c r="AK36" s="278" t="s">
        <v>432</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309</v>
      </c>
      <c r="AS38" s="1155">
        <v>14</v>
      </c>
    </row>
    <row customHeight="1" ht="14.699999999999998">
      <c r="Q39" s="376"/>
      <c r="R39" s="376"/>
      <c r="S39" s="2273" t="s">
        <v>92</v>
      </c>
      <c r="T39" s="2209" t="s">
        <v>433</v>
      </c>
      <c r="U39" s="301"/>
      <c r="V39" s="2274" t="s">
        <v>434</v>
      </c>
      <c r="W39" s="2275"/>
      <c r="X39" s="2275"/>
      <c r="Y39" s="2275"/>
      <c r="Z39" s="2275"/>
      <c r="AA39" s="2275"/>
      <c r="AB39" s="2276"/>
      <c r="AC39" s="2277" t="s">
        <v>435</v>
      </c>
      <c r="AD39" s="2274" t="s">
        <v>434</v>
      </c>
      <c r="AE39" s="2275"/>
      <c r="AF39" s="2275"/>
      <c r="AG39" s="2275"/>
      <c r="AH39" s="2275"/>
      <c r="AI39" s="2275"/>
      <c r="AJ39" s="2276"/>
      <c r="AK39" s="2277" t="s">
        <v>436</v>
      </c>
      <c r="AL39" s="2280" t="s">
        <v>437</v>
      </c>
      <c r="AM39" s="2127"/>
      <c r="AS39" s="1155">
        <v>14</v>
      </c>
    </row>
    <row customHeight="1" ht="35.699999999999996">
      <c r="Q40" s="376"/>
      <c r="R40" s="376"/>
      <c r="S40" s="2273"/>
      <c r="T40" s="2209"/>
      <c r="U40" s="1031"/>
      <c r="V40" s="2260" t="s">
        <v>438</v>
      </c>
      <c r="W40" s="2283"/>
      <c r="X40" s="2262" t="s">
        <v>440</v>
      </c>
      <c r="Y40" s="2263"/>
      <c r="Z40" s="2262" t="s">
        <v>441</v>
      </c>
      <c r="AA40" s="2269"/>
      <c r="AB40" s="2263"/>
      <c r="AC40" s="2278"/>
      <c r="AD40" s="2260" t="s">
        <v>458</v>
      </c>
      <c r="AE40" s="2283"/>
      <c r="AF40" s="2262" t="s">
        <v>440</v>
      </c>
      <c r="AG40" s="2263"/>
      <c r="AH40" s="2262" t="s">
        <v>441</v>
      </c>
      <c r="AI40" s="2269"/>
      <c r="AJ40" s="2263"/>
      <c r="AK40" s="2278"/>
      <c r="AL40" s="2281"/>
      <c r="AM40" s="2127"/>
      <c r="AS40" s="1155">
        <v>34</v>
      </c>
    </row>
    <row customHeight="1" ht="35.699999999999996">
      <c r="A41" s="1370"/>
      <c r="B41" s="1370" t="s">
        <v>139</v>
      </c>
      <c r="C41" s="1370" t="s">
        <v>140</v>
      </c>
      <c r="D41" s="1370" t="s">
        <v>141</v>
      </c>
      <c r="E41" s="1364" t="s">
        <v>442</v>
      </c>
      <c r="F41" s="1364" t="s">
        <v>443</v>
      </c>
      <c r="G41" s="1364" t="s">
        <v>444</v>
      </c>
      <c r="H41" s="1364" t="s">
        <v>445</v>
      </c>
      <c r="I41" s="1364" t="s">
        <v>446</v>
      </c>
      <c r="J41" s="1364" t="s">
        <v>447</v>
      </c>
      <c r="K41" s="1364" t="s">
        <v>448</v>
      </c>
      <c r="L41" s="1364" t="s">
        <v>423</v>
      </c>
      <c r="Q41" s="376"/>
      <c r="R41" s="376"/>
      <c r="S41" s="2273"/>
      <c r="T41" s="2209"/>
      <c r="U41" s="302"/>
      <c r="V41" s="2261"/>
      <c r="W41" s="2284"/>
      <c r="X41" s="1222" t="s">
        <v>449</v>
      </c>
      <c r="Y41" s="1222" t="s">
        <v>450</v>
      </c>
      <c r="Z41" s="1338" t="s">
        <v>451</v>
      </c>
      <c r="AA41" s="2270" t="s">
        <v>452</v>
      </c>
      <c r="AB41" s="2271"/>
      <c r="AC41" s="2279"/>
      <c r="AD41" s="2261"/>
      <c r="AE41" s="2284"/>
      <c r="AF41" s="1222" t="s">
        <v>449</v>
      </c>
      <c r="AG41" s="1222" t="s">
        <v>450</v>
      </c>
      <c r="AH41" s="1338" t="s">
        <v>451</v>
      </c>
      <c r="AI41" s="2270" t="s">
        <v>452</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113</v>
      </c>
      <c r="T42" s="1255" t="s">
        <v>114</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190</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127</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190</v>
      </c>
      <c r="B44" s="1363" t="s">
        <v>191</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406</v>
      </c>
      <c r="AO44" s="500"/>
      <c r="AP44" s="500" t="str">
        <f>IF(T44="","",T44)</f>
        <v>Территория действия тарифа</v>
      </c>
      <c r="AQ44" s="500"/>
      <c r="AR44" s="500"/>
      <c r="AS44" s="1155">
        <v>21</v>
      </c>
    </row>
    <row customHeight="1" ht="24">
      <c r="A45" s="1363" t="s">
        <v>190</v>
      </c>
      <c r="B45" s="1363" t="s">
        <v>191</v>
      </c>
      <c r="C45" s="1363" t="s">
        <v>192</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408</v>
      </c>
      <c r="AO45" s="500"/>
      <c r="AP45" s="500" t="str">
        <f>IF(T45="","",T45)</f>
        <v>Наименование системы теплоснабжения </v>
      </c>
      <c r="AQ45" s="500"/>
      <c r="AR45" s="500"/>
      <c r="AS45" s="1155">
        <v>23</v>
      </c>
    </row>
    <row customHeight="1" ht="22.049999999999997">
      <c r="A46" s="1363" t="s">
        <v>190</v>
      </c>
      <c r="B46" s="1363" t="s">
        <v>191</v>
      </c>
      <c r="C46" s="1363" t="s">
        <v>192</v>
      </c>
      <c r="D46" s="1363" t="s">
        <v>193</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410</v>
      </c>
      <c r="AO46" s="500"/>
      <c r="AP46" s="500" t="str">
        <f>IF(T46="","",T46)</f>
        <v>Источник тепловой энергии  </v>
      </c>
      <c r="AQ46" s="500"/>
      <c r="AR46" s="500"/>
      <c r="AS46" s="1155">
        <v>21</v>
      </c>
    </row>
    <row s="1642" customFormat="1" customHeight="1" ht="0">
      <c r="A47" s="1343" t="s">
        <v>190</v>
      </c>
      <c r="B47" s="1343" t="s">
        <v>191</v>
      </c>
      <c r="C47" s="1343" t="s">
        <v>192</v>
      </c>
      <c r="D47" s="1343" t="s">
        <v>193</v>
      </c>
      <c r="E47" s="2259"/>
      <c r="F47" s="2259"/>
      <c r="G47" s="2259"/>
      <c r="H47" s="2259"/>
      <c r="I47" s="2256" t="str">
        <f>S46&amp;".1"</f>
        <v>....1</v>
      </c>
      <c r="J47" s="1343"/>
      <c r="K47" s="1343"/>
      <c r="L47" s="1346" t="s">
        <v>411</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190</v>
      </c>
      <c r="B48" s="1363" t="s">
        <v>191</v>
      </c>
      <c r="C48" s="1363" t="s">
        <v>192</v>
      </c>
      <c r="D48" s="1363" t="s">
        <v>193</v>
      </c>
      <c r="E48" s="2259"/>
      <c r="F48" s="2259"/>
      <c r="G48" s="2259"/>
      <c r="H48" s="2259"/>
      <c r="I48" s="2286"/>
      <c r="J48" s="2256" t="str">
        <f>S46&amp;".1"</f>
        <v>....1</v>
      </c>
      <c r="K48" s="1363"/>
      <c r="L48" s="1364" t="s">
        <v>414</v>
      </c>
      <c r="P48" s="2257"/>
      <c r="Q48" s="2257">
        <v>1</v>
      </c>
      <c r="R48" s="357"/>
      <c r="S48" s="1336" t="str">
        <f>$J48</f>
        <v>....1</v>
      </c>
      <c r="T48" s="286" t="s">
        <v>415</v>
      </c>
      <c r="U48" s="300"/>
      <c r="V48" s="2245"/>
      <c r="W48" s="2246"/>
      <c r="X48" s="2246"/>
      <c r="Y48" s="2246"/>
      <c r="Z48" s="2246"/>
      <c r="AA48" s="2246"/>
      <c r="AB48" s="2246"/>
      <c r="AC48" s="2247"/>
      <c r="AD48" s="2245"/>
      <c r="AE48" s="2246"/>
      <c r="AF48" s="2246"/>
      <c r="AG48" s="2246"/>
      <c r="AH48" s="2246"/>
      <c r="AI48" s="2246"/>
      <c r="AJ48" s="2246"/>
      <c r="AK48" s="2246"/>
      <c r="AL48" s="2247"/>
      <c r="AM48" s="1258" t="s">
        <v>416</v>
      </c>
      <c r="AO48" s="500"/>
      <c r="AP48" s="500" t="str">
        <f>IF(T48="","",T48)</f>
        <v>Группа потребителей</v>
      </c>
      <c r="AQ48" s="500"/>
      <c r="AR48" s="500"/>
      <c r="AS48" s="1155">
        <v>21</v>
      </c>
    </row>
    <row customHeight="1" ht="22.049999999999997">
      <c r="A49" s="1363" t="s">
        <v>190</v>
      </c>
      <c r="B49" s="1363" t="s">
        <v>191</v>
      </c>
      <c r="C49" s="1363" t="s">
        <v>192</v>
      </c>
      <c r="D49" s="1363" t="s">
        <v>193</v>
      </c>
      <c r="E49" s="2259"/>
      <c r="F49" s="2259"/>
      <c r="G49" s="2259"/>
      <c r="H49" s="2259"/>
      <c r="I49" s="2286"/>
      <c r="J49" s="2286"/>
      <c r="K49" s="2256" t="str">
        <f>J48&amp;".1"</f>
        <v>....1.1</v>
      </c>
      <c r="L49" s="1364" t="s">
        <v>417</v>
      </c>
      <c r="P49" s="2257"/>
      <c r="Q49" s="2257"/>
      <c r="R49" s="357">
        <v>1</v>
      </c>
      <c r="S49" s="1336" t="str">
        <f>$K49</f>
        <v>....1.1</v>
      </c>
      <c r="T49" s="1347"/>
      <c r="U49" s="300"/>
      <c r="V49" s="751"/>
      <c r="W49" s="325"/>
      <c r="X49" s="751"/>
      <c r="Y49" s="1257"/>
      <c r="Z49" s="2265"/>
      <c r="AA49" s="2107" t="s">
        <v>70</v>
      </c>
      <c r="AB49" s="2265"/>
      <c r="AC49" s="2107" t="s">
        <v>70</v>
      </c>
      <c r="AD49" s="751"/>
      <c r="AE49" s="325"/>
      <c r="AF49" s="751"/>
      <c r="AG49" s="1257"/>
      <c r="AH49" s="2265"/>
      <c r="AI49" s="2107" t="s">
        <v>70</v>
      </c>
      <c r="AJ49" s="2287"/>
      <c r="AK49" s="2107" t="s">
        <v>70</v>
      </c>
      <c r="AL49" s="1348"/>
      <c r="AM49" s="2253" t="s">
        <v>459</v>
      </c>
      <c r="AN49" s="511">
        <f>STRCHECKDATE(V50:AL50)</f>
      </c>
      <c r="AO49" s="500"/>
      <c r="AP49" s="500" t="str">
        <f>IF(T49="","",T49)</f>
        <v/>
      </c>
      <c r="AQ49" s="500"/>
      <c r="AR49" s="500"/>
      <c r="AS49" s="1155">
        <v>21</v>
      </c>
    </row>
    <row customHeight="1" ht="1.05">
      <c r="A50" s="1363" t="s">
        <v>190</v>
      </c>
      <c r="B50" s="1363" t="s">
        <v>191</v>
      </c>
      <c r="C50" s="1363" t="s">
        <v>192</v>
      </c>
      <c r="D50" s="1363" t="s">
        <v>193</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190</v>
      </c>
      <c r="B51" s="1363" t="s">
        <v>191</v>
      </c>
      <c r="C51" s="1363" t="s">
        <v>192</v>
      </c>
      <c r="D51" s="1363" t="s">
        <v>193</v>
      </c>
      <c r="E51" s="2259"/>
      <c r="F51" s="2259"/>
      <c r="G51" s="2259"/>
      <c r="H51" s="2259"/>
      <c r="I51" s="2286"/>
      <c r="J51" s="2256"/>
      <c r="K51" s="1363"/>
      <c r="L51" s="1364"/>
      <c r="P51" s="2257"/>
      <c r="Q51" s="2257"/>
      <c r="R51" s="356"/>
      <c r="S51" s="1278"/>
      <c r="T51" s="287" t="s">
        <v>419</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190</v>
      </c>
      <c r="B52" s="1363" t="s">
        <v>191</v>
      </c>
      <c r="C52" s="1363" t="s">
        <v>192</v>
      </c>
      <c r="D52" s="1363" t="s">
        <v>193</v>
      </c>
      <c r="E52" s="2259"/>
      <c r="F52" s="2259"/>
      <c r="G52" s="2259"/>
      <c r="H52" s="2259"/>
      <c r="I52" s="2256"/>
      <c r="J52" s="1363"/>
      <c r="K52" s="1363"/>
      <c r="L52" s="1364"/>
      <c r="P52" s="2257"/>
      <c r="Q52" s="1331"/>
      <c r="R52" s="356"/>
      <c r="S52" s="1278"/>
      <c r="T52" s="365" t="s">
        <v>420</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190</v>
      </c>
      <c r="B53" s="1363" t="s">
        <v>191</v>
      </c>
      <c r="C53" s="1363" t="s">
        <v>192</v>
      </c>
      <c r="D53" s="1363" t="s">
        <v>193</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190</v>
      </c>
      <c r="B54" s="1343" t="s">
        <v>191</v>
      </c>
      <c r="C54" s="1343" t="s">
        <v>192</v>
      </c>
      <c r="D54" s="1314"/>
      <c r="E54" s="2259"/>
      <c r="F54" s="2259"/>
      <c r="G54" s="2258"/>
      <c r="H54" s="1314"/>
      <c r="I54" s="1314"/>
      <c r="J54" s="1314"/>
      <c r="K54" s="1314"/>
      <c r="L54" s="1339"/>
      <c r="M54" s="1315"/>
      <c r="N54" s="1315"/>
      <c r="P54" s="1316"/>
      <c r="Q54" s="1317"/>
      <c r="R54" s="1316"/>
      <c r="S54" s="1322"/>
      <c r="T54" s="1325" t="s">
        <v>172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190</v>
      </c>
      <c r="B55" s="1343" t="s">
        <v>191</v>
      </c>
      <c r="C55" s="1314"/>
      <c r="D55" s="1314"/>
      <c r="E55" s="2259"/>
      <c r="F55" s="2258"/>
      <c r="G55" s="1314"/>
      <c r="H55" s="1314"/>
      <c r="I55" s="1314"/>
      <c r="J55" s="1314"/>
      <c r="K55" s="1314"/>
      <c r="L55" s="1339"/>
      <c r="M55" s="1321"/>
      <c r="N55" s="1321"/>
      <c r="P55" s="1316"/>
      <c r="Q55" s="1317"/>
      <c r="R55" s="1316"/>
      <c r="S55" s="1322"/>
      <c r="T55" s="1325" t="s">
        <v>173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190</v>
      </c>
      <c r="B56" s="1343"/>
      <c r="C56" s="1343"/>
      <c r="D56" s="1343"/>
      <c r="E56" s="2258"/>
      <c r="F56" s="1343"/>
      <c r="G56" s="1343"/>
      <c r="H56" s="1343"/>
      <c r="I56" s="1343"/>
      <c r="J56" s="1343"/>
      <c r="K56" s="1343"/>
      <c r="L56" s="1346"/>
      <c r="M56" s="1321"/>
      <c r="N56" s="1321"/>
      <c r="O56" s="518"/>
      <c r="P56" s="380"/>
      <c r="Q56" s="1344"/>
      <c r="R56" s="380"/>
      <c r="S56" s="1322"/>
      <c r="T56" s="1325" t="s">
        <v>174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175</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86</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272F5F-2508-0CB8-DC9F-1673153B32E9}"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127</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404</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406</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408</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410</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411</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414</v>
      </c>
      <c r="M7" s="537"/>
      <c r="N7" s="1366"/>
      <c r="P7" s="2257"/>
      <c r="Q7" s="2257">
        <v>1</v>
      </c>
      <c r="R7" s="357"/>
      <c r="S7" s="1336">
        <f>$J7</f>
      </c>
      <c r="T7" s="286" t="s">
        <v>415</v>
      </c>
      <c r="U7" s="300"/>
      <c r="V7" s="2245"/>
      <c r="W7" s="2246"/>
      <c r="X7" s="2246"/>
      <c r="Y7" s="2246"/>
      <c r="Z7" s="2246"/>
      <c r="AA7" s="2246"/>
      <c r="AB7" s="2246"/>
      <c r="AC7" s="2247"/>
      <c r="AD7" s="2245"/>
      <c r="AE7" s="2246"/>
      <c r="AF7" s="2246"/>
      <c r="AG7" s="2246"/>
      <c r="AH7" s="2246"/>
      <c r="AI7" s="2246"/>
      <c r="AJ7" s="2246"/>
      <c r="AK7" s="2246"/>
      <c r="AL7" s="2247"/>
      <c r="AM7" s="1258" t="s">
        <v>416</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417</v>
      </c>
      <c r="M8" s="537"/>
      <c r="N8" s="1366"/>
      <c r="O8" s="1366"/>
      <c r="P8" s="2257"/>
      <c r="Q8" s="2257"/>
      <c r="R8" s="357">
        <v>1</v>
      </c>
      <c r="S8" s="1336">
        <f>$K8</f>
      </c>
      <c r="T8" s="1347"/>
      <c r="U8" s="300"/>
      <c r="V8" s="751"/>
      <c r="W8" s="325"/>
      <c r="X8" s="751"/>
      <c r="Y8" s="1257"/>
      <c r="Z8" s="2265"/>
      <c r="AA8" s="2107" t="s">
        <v>70</v>
      </c>
      <c r="AB8" s="2265"/>
      <c r="AC8" s="2107" t="s">
        <v>70</v>
      </c>
      <c r="AD8" s="751"/>
      <c r="AE8" s="325"/>
      <c r="AF8" s="751"/>
      <c r="AG8" s="1257"/>
      <c r="AH8" s="2265"/>
      <c r="AI8" s="2107" t="s">
        <v>70</v>
      </c>
      <c r="AJ8" s="2265"/>
      <c r="AK8" s="2107" t="s">
        <v>70</v>
      </c>
      <c r="AL8" s="325"/>
      <c r="AM8" s="2253" t="s">
        <v>418</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419</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420</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172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173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174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70</v>
      </c>
      <c r="AJ17" s="2267"/>
      <c r="AK17" s="2268" t="s">
        <v>70</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422</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423</v>
      </c>
      <c r="P22" s="1362"/>
      <c r="Q22" s="1371"/>
      <c r="R22" s="1371"/>
      <c r="S22" s="729"/>
      <c r="T22" s="1160" t="s">
        <v>424</v>
      </c>
      <c r="AA22" s="186" t="s">
        <v>425</v>
      </c>
      <c r="AC22" s="186" t="s">
        <v>426</v>
      </c>
      <c r="AD22" s="1160" t="s">
        <v>424</v>
      </c>
      <c r="AI22" s="186" t="s">
        <v>427</v>
      </c>
      <c r="AK22" s="186" t="s">
        <v>426</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ООО "Энерго-Сервис"</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Комитет по тарифам и ценам Курской области</v>
      </c>
      <c r="W29" s="2251"/>
      <c r="X29" s="2251"/>
      <c r="Y29" s="2251"/>
      <c r="Z29" s="2251"/>
      <c r="AA29" s="2251"/>
      <c r="AB29" s="2251"/>
      <c r="AC29" s="326"/>
      <c r="AD29" s="2251" t="str">
        <f>IF(TITLE_NAME_OR_PR_CHANGE="",IF(TITLE_NAME_OR_PR="","",TITLE_NAME_OR_PR),TITLE_NAME_OR_PR_CHANGE)</f>
        <v>Комитет по тарифам и ценам Курской области</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428</v>
      </c>
      <c r="T30" s="2250"/>
      <c r="U30" s="1372"/>
      <c r="V30" s="2264" t="str">
        <f>IF(TITLE_DATE_PR_CHANGE="",IF(TITLE_DATE_PR="","",TITLE_DATE_PR),TITLE_DATE_PR_CHANGE)</f>
        <v>46010</v>
      </c>
      <c r="W30" s="2264"/>
      <c r="X30" s="2264"/>
      <c r="Y30" s="2264"/>
      <c r="Z30" s="2264"/>
      <c r="AA30" s="2264"/>
      <c r="AB30" s="2264"/>
      <c r="AC30" s="326"/>
      <c r="AD30" s="2264" t="str">
        <f>IF(TITLE_DATE_PR_CHANGE="",IF(TITLE_DATE_PR="","",TITLE_DATE_PR),TITLE_DATE_PR_CHANGE)</f>
        <v>46010</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429</v>
      </c>
      <c r="T31" s="2250"/>
      <c r="U31" s="1372"/>
      <c r="V31" s="2251" t="str">
        <f>IF(TITLE_NUMBER_PR_CHANGE="",IF(TITLE_NUMBER_PR="","",TITLE_NUMBER_PR),TITLE_NUMBER_PR_CHANGE)</f>
        <v>66</v>
      </c>
      <c r="W31" s="2251"/>
      <c r="X31" s="2251"/>
      <c r="Y31" s="2251"/>
      <c r="Z31" s="2251"/>
      <c r="AA31" s="2251"/>
      <c r="AB31" s="2251"/>
      <c r="AC31" s="326"/>
      <c r="AD31" s="2251" t="str">
        <f>IF(TITLE_NUMBER_PR_CHANGE="",IF(TITLE_NUMBER_PR="","",TITLE_NUMBER_PR),TITLE_NUMBER_PR_CHANGE)</f>
        <v>66</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https://kurskpravo.ru/accepted-npa-prewev/2528</v>
      </c>
      <c r="W32" s="2251"/>
      <c r="X32" s="2251"/>
      <c r="Y32" s="2251"/>
      <c r="Z32" s="2251"/>
      <c r="AA32" s="2251"/>
      <c r="AB32" s="2251"/>
      <c r="AC32" s="326"/>
      <c r="AD32" s="2251" t="str">
        <f>IF(TITLE_IST_PUB_CHANGE="",IF(TITLE_IST_PUB="","",TITLE_IST_PUB),TITLE_IST_PUB_CHANGE)</f>
        <v>https://kurskpravo.ru/accepted-npa-prewev/2528</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430</v>
      </c>
      <c r="T34" s="2250"/>
      <c r="U34" s="1372"/>
      <c r="V34" s="2264" t="str">
        <f>IF(TITLE_DATE_PR_CHANGE="",IF(TITLE_DATE_PR="","",TITLE_DATE_PR),TITLE_DATE_PR_CHANGE)</f>
        <v>46010</v>
      </c>
      <c r="W34" s="2264"/>
      <c r="X34" s="2264"/>
      <c r="Y34" s="2264"/>
      <c r="Z34" s="2264"/>
      <c r="AA34" s="2264"/>
      <c r="AB34" s="2264"/>
      <c r="AC34" s="326"/>
      <c r="AD34" s="2264" t="str">
        <f>IF(TITLE_DATE_PR_CHANGE="",IF(TITLE_DATE_PR="","",TITLE_DATE_PR),TITLE_DATE_PR_CHANGE)</f>
        <v>46010</v>
      </c>
      <c r="AE34" s="2264"/>
      <c r="AF34" s="2264"/>
      <c r="AG34" s="2264"/>
      <c r="AH34" s="2264"/>
      <c r="AI34" s="2264"/>
      <c r="AJ34" s="2264"/>
      <c r="AK34" s="326"/>
      <c r="AL34" s="326"/>
      <c r="AM34" s="280"/>
      <c r="AN34" s="368"/>
      <c r="AO34" s="368"/>
      <c r="AP34" s="368"/>
      <c r="AQ34" s="368"/>
      <c r="AR34" s="368"/>
      <c r="AS34" s="418">
        <v>0</v>
      </c>
    </row>
    <row s="1853" customFormat="1" customHeight="1" ht="25.5" hidden="1">
      <c r="A35" s="1368"/>
      <c r="B35" s="1368"/>
      <c r="C35" s="1368"/>
      <c r="D35" s="1368"/>
      <c r="E35" s="1368"/>
      <c r="F35" s="1368"/>
      <c r="G35" s="1368"/>
      <c r="H35" s="1368"/>
      <c r="I35" s="1368"/>
      <c r="J35" s="1368"/>
      <c r="K35" s="1368"/>
      <c r="L35" s="1369"/>
      <c r="M35" s="1368"/>
      <c r="N35" s="1368"/>
      <c r="O35" s="1368"/>
      <c r="S35" s="2250" t="s">
        <v>431</v>
      </c>
      <c r="T35" s="2250"/>
      <c r="U35" s="1372"/>
      <c r="V35" s="2251" t="str">
        <f>IF(TITLE_NUMBER_PR_CHANGE="",IF(TITLE_NUMBER_PR="","",TITLE_NUMBER_PR),TITLE_NUMBER_PR_CHANGE)</f>
        <v>66</v>
      </c>
      <c r="W35" s="2251"/>
      <c r="X35" s="2251"/>
      <c r="Y35" s="2251"/>
      <c r="Z35" s="2251"/>
      <c r="AA35" s="2251"/>
      <c r="AB35" s="2251"/>
      <c r="AC35" s="326"/>
      <c r="AD35" s="2251" t="str">
        <f>IF(TITLE_NUMBER_PR_CHANGE="",IF(TITLE_NUMBER_PR="","",TITLE_NUMBER_PR),TITLE_NUMBER_PR_CHANGE)</f>
        <v>66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432</v>
      </c>
      <c r="AD36" s="326"/>
      <c r="AE36" s="326"/>
      <c r="AF36" s="326"/>
      <c r="AG36" s="326"/>
      <c r="AH36" s="326"/>
      <c r="AI36" s="326"/>
      <c r="AJ36" s="326"/>
      <c r="AK36" s="278" t="s">
        <v>432</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309</v>
      </c>
      <c r="AS38" s="1155">
        <v>14</v>
      </c>
    </row>
    <row customHeight="1" ht="14.699999999999998">
      <c r="Q39" s="376"/>
      <c r="R39" s="376"/>
      <c r="S39" s="2273" t="s">
        <v>92</v>
      </c>
      <c r="T39" s="2209" t="s">
        <v>433</v>
      </c>
      <c r="U39" s="301"/>
      <c r="V39" s="2274" t="s">
        <v>434</v>
      </c>
      <c r="W39" s="2275"/>
      <c r="X39" s="2275"/>
      <c r="Y39" s="2275"/>
      <c r="Z39" s="2275"/>
      <c r="AA39" s="2275"/>
      <c r="AB39" s="2276"/>
      <c r="AC39" s="2277" t="s">
        <v>435</v>
      </c>
      <c r="AD39" s="2274" t="s">
        <v>434</v>
      </c>
      <c r="AE39" s="2275"/>
      <c r="AF39" s="2275"/>
      <c r="AG39" s="2275"/>
      <c r="AH39" s="2275"/>
      <c r="AI39" s="2275"/>
      <c r="AJ39" s="2276"/>
      <c r="AK39" s="2277" t="s">
        <v>436</v>
      </c>
      <c r="AL39" s="2280" t="s">
        <v>437</v>
      </c>
      <c r="AM39" s="2127"/>
      <c r="AS39" s="1155">
        <v>14</v>
      </c>
    </row>
    <row customHeight="1" ht="35.699999999999996">
      <c r="Q40" s="376"/>
      <c r="R40" s="376"/>
      <c r="S40" s="2273"/>
      <c r="T40" s="2209"/>
      <c r="U40" s="1031"/>
      <c r="V40" s="2260" t="s">
        <v>438</v>
      </c>
      <c r="W40" s="2283"/>
      <c r="X40" s="2262" t="s">
        <v>440</v>
      </c>
      <c r="Y40" s="2263"/>
      <c r="Z40" s="2262" t="s">
        <v>441</v>
      </c>
      <c r="AA40" s="2269"/>
      <c r="AB40" s="2263"/>
      <c r="AC40" s="2278"/>
      <c r="AD40" s="2260" t="s">
        <v>458</v>
      </c>
      <c r="AE40" s="2283"/>
      <c r="AF40" s="2262" t="s">
        <v>440</v>
      </c>
      <c r="AG40" s="2263"/>
      <c r="AH40" s="2262" t="s">
        <v>441</v>
      </c>
      <c r="AI40" s="2269"/>
      <c r="AJ40" s="2263"/>
      <c r="AK40" s="2278"/>
      <c r="AL40" s="2281"/>
      <c r="AM40" s="2127"/>
      <c r="AS40" s="1155">
        <v>34</v>
      </c>
    </row>
    <row customHeight="1" ht="35.699999999999996">
      <c r="A41" s="1370"/>
      <c r="B41" s="1370" t="s">
        <v>139</v>
      </c>
      <c r="C41" s="1370" t="s">
        <v>140</v>
      </c>
      <c r="D41" s="1370" t="s">
        <v>141</v>
      </c>
      <c r="E41" s="1364" t="s">
        <v>442</v>
      </c>
      <c r="F41" s="1364" t="s">
        <v>443</v>
      </c>
      <c r="G41" s="1364" t="s">
        <v>444</v>
      </c>
      <c r="H41" s="1364" t="s">
        <v>445</v>
      </c>
      <c r="I41" s="1364" t="s">
        <v>446</v>
      </c>
      <c r="J41" s="1364" t="s">
        <v>447</v>
      </c>
      <c r="K41" s="1364" t="s">
        <v>448</v>
      </c>
      <c r="L41" s="1364" t="s">
        <v>423</v>
      </c>
      <c r="Q41" s="376"/>
      <c r="R41" s="376"/>
      <c r="S41" s="2273"/>
      <c r="T41" s="2209"/>
      <c r="U41" s="302"/>
      <c r="V41" s="2261"/>
      <c r="W41" s="2284"/>
      <c r="X41" s="1222" t="s">
        <v>449</v>
      </c>
      <c r="Y41" s="1222" t="s">
        <v>450</v>
      </c>
      <c r="Z41" s="1338" t="s">
        <v>451</v>
      </c>
      <c r="AA41" s="2270" t="s">
        <v>452</v>
      </c>
      <c r="AB41" s="2271"/>
      <c r="AC41" s="2279"/>
      <c r="AD41" s="2261"/>
      <c r="AE41" s="2284"/>
      <c r="AF41" s="1222" t="s">
        <v>449</v>
      </c>
      <c r="AG41" s="1222" t="s">
        <v>450</v>
      </c>
      <c r="AH41" s="1338" t="s">
        <v>451</v>
      </c>
      <c r="AI41" s="2270" t="s">
        <v>452</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113</v>
      </c>
      <c r="T42" s="1255" t="s">
        <v>114</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196</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127</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196</v>
      </c>
      <c r="B44" s="1363" t="s">
        <v>197</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406</v>
      </c>
      <c r="AO44" s="500"/>
      <c r="AP44" s="500" t="str">
        <f>IF(T44="","",T44)</f>
        <v>Территория действия тарифа</v>
      </c>
      <c r="AQ44" s="500"/>
      <c r="AR44" s="500"/>
      <c r="AS44" s="1155">
        <v>21</v>
      </c>
    </row>
    <row customHeight="1" ht="24">
      <c r="A45" s="1363" t="s">
        <v>196</v>
      </c>
      <c r="B45" s="1363" t="s">
        <v>197</v>
      </c>
      <c r="C45" s="1363" t="s">
        <v>198</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408</v>
      </c>
      <c r="AO45" s="500"/>
      <c r="AP45" s="500" t="str">
        <f>IF(T45="","",T45)</f>
        <v>Наименование системы теплоснабжения </v>
      </c>
      <c r="AQ45" s="500"/>
      <c r="AR45" s="500"/>
      <c r="AS45" s="1155">
        <v>23</v>
      </c>
    </row>
    <row customHeight="1" ht="22.049999999999997">
      <c r="A46" s="1363" t="s">
        <v>196</v>
      </c>
      <c r="B46" s="1363" t="s">
        <v>197</v>
      </c>
      <c r="C46" s="1363" t="s">
        <v>198</v>
      </c>
      <c r="D46" s="1363" t="s">
        <v>199</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410</v>
      </c>
      <c r="AO46" s="500"/>
      <c r="AP46" s="500" t="str">
        <f>IF(T46="","",T46)</f>
        <v>Источник тепловой энергии  </v>
      </c>
      <c r="AQ46" s="500"/>
      <c r="AR46" s="500"/>
      <c r="AS46" s="1155">
        <v>21</v>
      </c>
    </row>
    <row s="1642" customFormat="1" customHeight="1" ht="0">
      <c r="A47" s="1343" t="s">
        <v>196</v>
      </c>
      <c r="B47" s="1343" t="s">
        <v>197</v>
      </c>
      <c r="C47" s="1343" t="s">
        <v>198</v>
      </c>
      <c r="D47" s="1343" t="s">
        <v>199</v>
      </c>
      <c r="E47" s="2259"/>
      <c r="F47" s="2259"/>
      <c r="G47" s="2259"/>
      <c r="H47" s="2259"/>
      <c r="I47" s="2256" t="str">
        <f>S46&amp;".1"</f>
        <v>....1</v>
      </c>
      <c r="J47" s="1343"/>
      <c r="K47" s="1343"/>
      <c r="L47" s="1346" t="s">
        <v>411</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196</v>
      </c>
      <c r="B48" s="1363" t="s">
        <v>197</v>
      </c>
      <c r="C48" s="1363" t="s">
        <v>198</v>
      </c>
      <c r="D48" s="1363" t="s">
        <v>199</v>
      </c>
      <c r="E48" s="2259"/>
      <c r="F48" s="2259"/>
      <c r="G48" s="2259"/>
      <c r="H48" s="2259"/>
      <c r="I48" s="2286"/>
      <c r="J48" s="2256" t="str">
        <f>S46&amp;".1"</f>
        <v>....1</v>
      </c>
      <c r="K48" s="1363"/>
      <c r="L48" s="1364" t="s">
        <v>414</v>
      </c>
      <c r="P48" s="2257"/>
      <c r="Q48" s="2257">
        <v>1</v>
      </c>
      <c r="R48" s="357"/>
      <c r="S48" s="1336" t="str">
        <f>$J48</f>
        <v>....1</v>
      </c>
      <c r="T48" s="286" t="s">
        <v>415</v>
      </c>
      <c r="U48" s="300"/>
      <c r="V48" s="2245"/>
      <c r="W48" s="2246"/>
      <c r="X48" s="2246"/>
      <c r="Y48" s="2246"/>
      <c r="Z48" s="2246"/>
      <c r="AA48" s="2246"/>
      <c r="AB48" s="2246"/>
      <c r="AC48" s="2247"/>
      <c r="AD48" s="2245"/>
      <c r="AE48" s="2246"/>
      <c r="AF48" s="2246"/>
      <c r="AG48" s="2246"/>
      <c r="AH48" s="2246"/>
      <c r="AI48" s="2246"/>
      <c r="AJ48" s="2246"/>
      <c r="AK48" s="2246"/>
      <c r="AL48" s="2247"/>
      <c r="AM48" s="1258" t="s">
        <v>416</v>
      </c>
      <c r="AO48" s="500"/>
      <c r="AP48" s="500" t="str">
        <f>IF(T48="","",T48)</f>
        <v>Группа потребителей</v>
      </c>
      <c r="AQ48" s="500"/>
      <c r="AR48" s="500"/>
      <c r="AS48" s="1155">
        <v>21</v>
      </c>
    </row>
    <row customHeight="1" ht="22.049999999999997">
      <c r="A49" s="1363" t="s">
        <v>196</v>
      </c>
      <c r="B49" s="1363" t="s">
        <v>197</v>
      </c>
      <c r="C49" s="1363" t="s">
        <v>198</v>
      </c>
      <c r="D49" s="1363" t="s">
        <v>199</v>
      </c>
      <c r="E49" s="2259"/>
      <c r="F49" s="2259"/>
      <c r="G49" s="2259"/>
      <c r="H49" s="2259"/>
      <c r="I49" s="2286"/>
      <c r="J49" s="2286"/>
      <c r="K49" s="2256" t="str">
        <f>J48&amp;".1"</f>
        <v>....1.1</v>
      </c>
      <c r="L49" s="1364" t="s">
        <v>417</v>
      </c>
      <c r="P49" s="2257"/>
      <c r="Q49" s="2257"/>
      <c r="R49" s="357">
        <v>1</v>
      </c>
      <c r="S49" s="1336" t="str">
        <f>$K49</f>
        <v>....1.1</v>
      </c>
      <c r="T49" s="1347"/>
      <c r="U49" s="300"/>
      <c r="V49" s="751"/>
      <c r="W49" s="325"/>
      <c r="X49" s="751"/>
      <c r="Y49" s="1257"/>
      <c r="Z49" s="2265"/>
      <c r="AA49" s="2107" t="s">
        <v>70</v>
      </c>
      <c r="AB49" s="2265"/>
      <c r="AC49" s="2107" t="s">
        <v>70</v>
      </c>
      <c r="AD49" s="751"/>
      <c r="AE49" s="325"/>
      <c r="AF49" s="751"/>
      <c r="AG49" s="1257"/>
      <c r="AH49" s="2265"/>
      <c r="AI49" s="2107" t="s">
        <v>70</v>
      </c>
      <c r="AJ49" s="2287"/>
      <c r="AK49" s="2107" t="s">
        <v>70</v>
      </c>
      <c r="AL49" s="1348"/>
      <c r="AM49" s="2253" t="s">
        <v>459</v>
      </c>
      <c r="AN49" s="511">
        <f>STRCHECKDATE(V50:AL50)</f>
      </c>
      <c r="AO49" s="500"/>
      <c r="AP49" s="500" t="str">
        <f>IF(T49="","",T49)</f>
        <v/>
      </c>
      <c r="AQ49" s="500"/>
      <c r="AR49" s="500"/>
      <c r="AS49" s="1155">
        <v>21</v>
      </c>
    </row>
    <row customHeight="1" ht="0">
      <c r="A50" s="1363" t="s">
        <v>196</v>
      </c>
      <c r="B50" s="1363" t="s">
        <v>197</v>
      </c>
      <c r="C50" s="1363" t="s">
        <v>198</v>
      </c>
      <c r="D50" s="1363" t="s">
        <v>199</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196</v>
      </c>
      <c r="B51" s="1363" t="s">
        <v>197</v>
      </c>
      <c r="C51" s="1363" t="s">
        <v>198</v>
      </c>
      <c r="D51" s="1363" t="s">
        <v>199</v>
      </c>
      <c r="E51" s="2259"/>
      <c r="F51" s="2259"/>
      <c r="G51" s="2259"/>
      <c r="H51" s="2259"/>
      <c r="I51" s="2286"/>
      <c r="J51" s="2256"/>
      <c r="K51" s="1363"/>
      <c r="L51" s="1364"/>
      <c r="P51" s="2257"/>
      <c r="Q51" s="2257"/>
      <c r="R51" s="356"/>
      <c r="S51" s="1278"/>
      <c r="T51" s="287" t="s">
        <v>419</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196</v>
      </c>
      <c r="B52" s="1363" t="s">
        <v>197</v>
      </c>
      <c r="C52" s="1363" t="s">
        <v>198</v>
      </c>
      <c r="D52" s="1363" t="s">
        <v>199</v>
      </c>
      <c r="E52" s="2259"/>
      <c r="F52" s="2259"/>
      <c r="G52" s="2259"/>
      <c r="H52" s="2259"/>
      <c r="I52" s="2256"/>
      <c r="J52" s="1363"/>
      <c r="K52" s="1363"/>
      <c r="L52" s="1364"/>
      <c r="P52" s="2257"/>
      <c r="Q52" s="1331"/>
      <c r="R52" s="356"/>
      <c r="S52" s="1278"/>
      <c r="T52" s="365" t="s">
        <v>420</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196</v>
      </c>
      <c r="B53" s="1363" t="s">
        <v>197</v>
      </c>
      <c r="C53" s="1363" t="s">
        <v>198</v>
      </c>
      <c r="D53" s="1363" t="s">
        <v>199</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196</v>
      </c>
      <c r="B54" s="1343" t="s">
        <v>197</v>
      </c>
      <c r="C54" s="1343" t="s">
        <v>198</v>
      </c>
      <c r="D54" s="1314"/>
      <c r="E54" s="2259"/>
      <c r="F54" s="2259"/>
      <c r="G54" s="2258"/>
      <c r="H54" s="1314"/>
      <c r="I54" s="1314"/>
      <c r="J54" s="1314"/>
      <c r="K54" s="1314"/>
      <c r="L54" s="1339"/>
      <c r="M54" s="1315"/>
      <c r="N54" s="1315"/>
      <c r="P54" s="1316"/>
      <c r="Q54" s="1317"/>
      <c r="R54" s="1316"/>
      <c r="S54" s="1322"/>
      <c r="T54" s="1325" t="s">
        <v>172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196</v>
      </c>
      <c r="B55" s="1343" t="s">
        <v>197</v>
      </c>
      <c r="C55" s="1314"/>
      <c r="D55" s="1314"/>
      <c r="E55" s="2259"/>
      <c r="F55" s="2258"/>
      <c r="G55" s="1314"/>
      <c r="H55" s="1314"/>
      <c r="I55" s="1314"/>
      <c r="J55" s="1314"/>
      <c r="K55" s="1314"/>
      <c r="L55" s="1339"/>
      <c r="M55" s="1321"/>
      <c r="N55" s="1321"/>
      <c r="P55" s="1316"/>
      <c r="Q55" s="1317"/>
      <c r="R55" s="1316"/>
      <c r="S55" s="1322"/>
      <c r="T55" s="1325" t="s">
        <v>173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196</v>
      </c>
      <c r="B56" s="1343"/>
      <c r="C56" s="1343"/>
      <c r="D56" s="1343"/>
      <c r="E56" s="2258"/>
      <c r="F56" s="1343"/>
      <c r="G56" s="1343"/>
      <c r="H56" s="1343"/>
      <c r="I56" s="1343"/>
      <c r="J56" s="1343"/>
      <c r="K56" s="1343"/>
      <c r="L56" s="1346"/>
      <c r="M56" s="1321"/>
      <c r="N56" s="1321"/>
      <c r="O56" s="518"/>
      <c r="P56" s="380"/>
      <c r="Q56" s="1344"/>
      <c r="R56" s="380"/>
      <c r="S56" s="1322"/>
      <c r="T56" s="1325" t="s">
        <v>174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175</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86</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9DE348-11E8-6038-DDF8-593DF53A05A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127</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404</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405</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406</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407</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408</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409</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410</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411</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414</v>
      </c>
      <c r="N7" s="509"/>
      <c r="O7" s="327"/>
      <c r="Q7" s="2257"/>
      <c r="R7" s="2257">
        <v>1</v>
      </c>
      <c r="S7" s="518"/>
      <c r="T7" s="357"/>
      <c r="U7" s="1336">
        <f>$J7</f>
      </c>
      <c r="V7" s="286" t="s">
        <v>415</v>
      </c>
      <c r="W7" s="300"/>
      <c r="X7" s="2245"/>
      <c r="Y7" s="2246"/>
      <c r="Z7" s="2246"/>
      <c r="AA7" s="2246"/>
      <c r="AB7" s="2246"/>
      <c r="AC7" s="2235"/>
      <c r="AD7" s="2235"/>
      <c r="AE7" s="2235"/>
      <c r="AF7" s="2308"/>
      <c r="AG7" s="2245"/>
      <c r="AH7" s="2246"/>
      <c r="AI7" s="2246"/>
      <c r="AJ7" s="2246"/>
      <c r="AK7" s="2246"/>
      <c r="AL7" s="2246"/>
      <c r="AM7" s="2246"/>
      <c r="AN7" s="2246"/>
      <c r="AO7" s="2246"/>
      <c r="AP7" s="2247"/>
      <c r="AQ7" s="1258" t="s">
        <v>416</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417</v>
      </c>
      <c r="N8" s="509"/>
      <c r="O8" s="327"/>
      <c r="P8" s="327"/>
      <c r="Q8" s="2257"/>
      <c r="R8" s="2257"/>
      <c r="S8" s="2257">
        <v>1</v>
      </c>
      <c r="T8" s="357"/>
      <c r="U8" s="1336">
        <f>$K8</f>
      </c>
      <c r="V8" s="1347"/>
      <c r="W8" s="300"/>
      <c r="X8" s="751"/>
      <c r="Y8" s="751"/>
      <c r="Z8" s="751"/>
      <c r="AA8" s="751"/>
      <c r="AB8" s="1405"/>
      <c r="AC8" s="2265"/>
      <c r="AD8" s="2107" t="s">
        <v>70</v>
      </c>
      <c r="AE8" s="2265"/>
      <c r="AF8" s="2107" t="s">
        <v>70</v>
      </c>
      <c r="AG8" s="1407"/>
      <c r="AH8" s="751"/>
      <c r="AI8" s="751"/>
      <c r="AJ8" s="751"/>
      <c r="AK8" s="1257"/>
      <c r="AL8" s="2265"/>
      <c r="AM8" s="2107" t="s">
        <v>70</v>
      </c>
      <c r="AN8" s="2265"/>
      <c r="AO8" s="2107" t="s">
        <v>70</v>
      </c>
      <c r="AP8" s="325"/>
      <c r="AQ8" s="1307" t="s">
        <v>460</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461</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462</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419</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420</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172</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173</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174</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70</v>
      </c>
      <c r="AN19" s="2267"/>
      <c r="AO19" s="2268" t="s">
        <v>70</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422</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423</v>
      </c>
      <c r="Q26" s="1362"/>
      <c r="R26" s="1371"/>
      <c r="S26" s="1371"/>
      <c r="T26" s="1371"/>
      <c r="U26" s="729"/>
      <c r="V26" s="1160" t="s">
        <v>424</v>
      </c>
      <c r="AD26" s="186" t="s">
        <v>425</v>
      </c>
      <c r="AF26" s="186" t="s">
        <v>426</v>
      </c>
      <c r="AG26" s="1160" t="s">
        <v>424</v>
      </c>
      <c r="AM26" s="186" t="s">
        <v>427</v>
      </c>
      <c r="AO26" s="186" t="s">
        <v>426</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ООО "Энерго-Сервис"</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Комитет по тарифам и ценам Курской области</v>
      </c>
      <c r="Y33" s="2251"/>
      <c r="Z33" s="2251"/>
      <c r="AA33" s="2251"/>
      <c r="AB33" s="2251"/>
      <c r="AC33" s="2251"/>
      <c r="AD33" s="2251"/>
      <c r="AE33" s="2251"/>
      <c r="AF33" s="326"/>
      <c r="AG33" s="2251" t="str">
        <f>IF(TITLE_NAME_OR_PR_CHANGE="",IF(TITLE_NAME_OR_PR="","",TITLE_NAME_OR_PR),TITLE_NAME_OR_PR_CHANGE)</f>
        <v>Комитет по тарифам и ценам Курской области</v>
      </c>
      <c r="AH33" s="2251"/>
      <c r="AI33" s="2251"/>
      <c r="AJ33" s="2251"/>
      <c r="AK33" s="2251"/>
      <c r="AL33" s="2251"/>
      <c r="AM33" s="2251"/>
      <c r="AN33" s="2251"/>
      <c r="AO33" s="326"/>
      <c r="AP33" s="326"/>
      <c r="AQ33" s="280"/>
      <c r="AR33" s="368"/>
      <c r="AS33" s="368"/>
      <c r="AT33" s="368"/>
      <c r="AU33" s="368"/>
      <c r="AV33" s="368"/>
      <c r="AW33" s="418">
        <v>0</v>
      </c>
    </row>
    <row s="1853" customFormat="1" customHeight="1" ht="18.75">
      <c r="A34" s="1248"/>
      <c r="B34" s="1248"/>
      <c r="C34" s="1248"/>
      <c r="D34" s="1248"/>
      <c r="E34" s="1248"/>
      <c r="F34" s="1248"/>
      <c r="G34" s="1248"/>
      <c r="H34" s="1248"/>
      <c r="I34" s="1248"/>
      <c r="J34" s="1248"/>
      <c r="K34" s="1248"/>
      <c r="L34" s="1248"/>
      <c r="M34" s="1380"/>
      <c r="N34" s="1248"/>
      <c r="O34" s="1248"/>
      <c r="P34" s="1248"/>
      <c r="U34" s="2250" t="s">
        <v>428</v>
      </c>
      <c r="V34" s="2250"/>
      <c r="W34" s="1372"/>
      <c r="X34" s="2264" t="str">
        <f>IF(TITLE_DATE_PR_CHANGE="",IF(TITLE_DATE_PR="","",TITLE_DATE_PR),TITLE_DATE_PR_CHANGE)</f>
        <v>46010</v>
      </c>
      <c r="Y34" s="2264"/>
      <c r="Z34" s="2264"/>
      <c r="AA34" s="2264"/>
      <c r="AB34" s="2264"/>
      <c r="AC34" s="2264"/>
      <c r="AD34" s="2264"/>
      <c r="AE34" s="2264"/>
      <c r="AF34" s="326"/>
      <c r="AG34" s="2264" t="str">
        <f>IF(TITLE_DATE_PR_CHANGE="",IF(TITLE_DATE_PR="","",TITLE_DATE_PR),TITLE_DATE_PR_CHANGE)</f>
        <v>46010</v>
      </c>
      <c r="AH34" s="2264"/>
      <c r="AI34" s="2264"/>
      <c r="AJ34" s="2264"/>
      <c r="AK34" s="2264"/>
      <c r="AL34" s="2264"/>
      <c r="AM34" s="2264"/>
      <c r="AN34" s="2264"/>
      <c r="AO34" s="326"/>
      <c r="AP34" s="326"/>
      <c r="AQ34" s="280"/>
      <c r="AR34" s="368"/>
      <c r="AS34" s="368"/>
      <c r="AT34" s="368"/>
      <c r="AU34" s="368"/>
      <c r="AV34" s="368"/>
      <c r="AW34" s="418">
        <v>0</v>
      </c>
    </row>
    <row s="1853" customFormat="1" customHeight="1" ht="18.75">
      <c r="A35" s="1248"/>
      <c r="B35" s="1248"/>
      <c r="C35" s="1248"/>
      <c r="D35" s="1248"/>
      <c r="E35" s="1248"/>
      <c r="F35" s="1248"/>
      <c r="G35" s="1248"/>
      <c r="H35" s="1248"/>
      <c r="I35" s="1248"/>
      <c r="J35" s="1248"/>
      <c r="K35" s="1248"/>
      <c r="L35" s="1248"/>
      <c r="M35" s="1380"/>
      <c r="N35" s="1248"/>
      <c r="O35" s="1248"/>
      <c r="P35" s="1248"/>
      <c r="U35" s="2250" t="s">
        <v>429</v>
      </c>
      <c r="V35" s="2250"/>
      <c r="W35" s="1372"/>
      <c r="X35" s="2251" t="str">
        <f>IF(TITLE_NUMBER_PR_CHANGE="",IF(TITLE_NUMBER_PR="","",TITLE_NUMBER_PR),TITLE_NUMBER_PR_CHANGE)</f>
        <v>66</v>
      </c>
      <c r="Y35" s="2251"/>
      <c r="Z35" s="2251"/>
      <c r="AA35" s="2251"/>
      <c r="AB35" s="2251"/>
      <c r="AC35" s="2251"/>
      <c r="AD35" s="2251"/>
      <c r="AE35" s="2251"/>
      <c r="AF35" s="326"/>
      <c r="AG35" s="2251" t="str">
        <f>IF(TITLE_NUMBER_PR_CHANGE="",IF(TITLE_NUMBER_PR="","",TITLE_NUMBER_PR),TITLE_NUMBER_PR_CHANGE)</f>
        <v>66</v>
      </c>
      <c r="AH35" s="2251"/>
      <c r="AI35" s="2251"/>
      <c r="AJ35" s="2251"/>
      <c r="AK35" s="2251"/>
      <c r="AL35" s="2251"/>
      <c r="AM35" s="2251"/>
      <c r="AN35" s="2251"/>
      <c r="AO35" s="326"/>
      <c r="AP35" s="326"/>
      <c r="AQ35" s="280"/>
      <c r="AR35" s="368"/>
      <c r="AS35" s="368"/>
      <c r="AT35" s="368"/>
      <c r="AU35" s="368"/>
      <c r="AV35" s="368"/>
      <c r="AW35" s="418">
        <v>0</v>
      </c>
    </row>
    <row s="1853" customFormat="1" customHeight="1" ht="18.75">
      <c r="A36" s="1248"/>
      <c r="B36" s="1248"/>
      <c r="C36" s="1248"/>
      <c r="D36" s="1248"/>
      <c r="E36" s="1248"/>
      <c r="F36" s="1248"/>
      <c r="G36" s="1248"/>
      <c r="H36" s="1248"/>
      <c r="I36" s="1248"/>
      <c r="J36" s="1248"/>
      <c r="K36" s="1248"/>
      <c r="L36" s="1248"/>
      <c r="M36" s="1380"/>
      <c r="N36" s="1248"/>
      <c r="O36" s="1248"/>
      <c r="P36" s="1248"/>
      <c r="U36" s="2250" t="s">
        <v>44</v>
      </c>
      <c r="V36" s="2250"/>
      <c r="W36" s="1372"/>
      <c r="X36" s="2251" t="str">
        <f>IF(TITLE_IST_PUB_CHANGE="",IF(TITLE_IST_PUB="","",TITLE_IST_PUB),TITLE_IST_PUB_CHANGE)</f>
        <v>https://kurskpravo.ru/accepted-npa-prewev/2528</v>
      </c>
      <c r="Y36" s="2251"/>
      <c r="Z36" s="2251"/>
      <c r="AA36" s="2251"/>
      <c r="AB36" s="2251"/>
      <c r="AC36" s="2251"/>
      <c r="AD36" s="2251"/>
      <c r="AE36" s="2251"/>
      <c r="AF36" s="326"/>
      <c r="AG36" s="2251" t="str">
        <f>IF(TITLE_IST_PUB_CHANGE="",IF(TITLE_IST_PUB="","",TITLE_IST_PUB),TITLE_IST_PUB_CHANGE)</f>
        <v>https://kurskpravo.ru/accepted-npa-prewev/2528</v>
      </c>
      <c r="AH36" s="2251"/>
      <c r="AI36" s="2251"/>
      <c r="AJ36" s="2251"/>
      <c r="AK36" s="2251"/>
      <c r="AL36" s="2251"/>
      <c r="AM36" s="2251"/>
      <c r="AN36" s="2251"/>
      <c r="AO36" s="326"/>
      <c r="AP36" s="326"/>
      <c r="AQ36" s="280"/>
      <c r="AR36" s="368"/>
      <c r="AS36" s="368"/>
      <c r="AT36" s="368"/>
      <c r="AU36" s="368"/>
      <c r="AV36" s="368"/>
      <c r="AW36" s="418">
        <v>0</v>
      </c>
    </row>
    <row customHeight="1" ht="14.25" hidden="1">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hidden="1">
      <c r="A38" s="1248"/>
      <c r="B38" s="1248"/>
      <c r="C38" s="1248"/>
      <c r="D38" s="1248"/>
      <c r="E38" s="1248"/>
      <c r="F38" s="1248"/>
      <c r="G38" s="1248"/>
      <c r="H38" s="1248"/>
      <c r="I38" s="1248"/>
      <c r="J38" s="1248"/>
      <c r="K38" s="1248"/>
      <c r="L38" s="1248"/>
      <c r="M38" s="1380"/>
      <c r="N38" s="1248"/>
      <c r="O38" s="1248"/>
      <c r="P38" s="1248"/>
      <c r="U38" s="2250" t="s">
        <v>430</v>
      </c>
      <c r="V38" s="2250"/>
      <c r="W38" s="1372"/>
      <c r="X38" s="2264" t="str">
        <f>IF(TITLE_DATE_PR_CHANGE="",IF(TITLE_DATE_PR="","",TITLE_DATE_PR),TITLE_DATE_PR_CHANGE)</f>
        <v>46010</v>
      </c>
      <c r="Y38" s="2264"/>
      <c r="Z38" s="2264"/>
      <c r="AA38" s="2264"/>
      <c r="AB38" s="2264"/>
      <c r="AC38" s="2264"/>
      <c r="AD38" s="2264"/>
      <c r="AE38" s="2264"/>
      <c r="AF38" s="326"/>
      <c r="AG38" s="2264" t="str">
        <f>IF(TITLE_DATE_PR_CHANGE="",IF(TITLE_DATE_PR="","",TITLE_DATE_PR),TITLE_DATE_PR_CHANGE)</f>
        <v>46010</v>
      </c>
      <c r="AH38" s="2264"/>
      <c r="AI38" s="2264"/>
      <c r="AJ38" s="2264"/>
      <c r="AK38" s="2264"/>
      <c r="AL38" s="2264"/>
      <c r="AM38" s="2264"/>
      <c r="AN38" s="2264"/>
      <c r="AO38" s="326"/>
      <c r="AP38" s="326"/>
      <c r="AQ38" s="280"/>
      <c r="AR38" s="368"/>
      <c r="AS38" s="368"/>
      <c r="AT38" s="368"/>
      <c r="AU38" s="368"/>
      <c r="AV38" s="368"/>
      <c r="AW38" s="418">
        <v>0</v>
      </c>
    </row>
    <row s="1853" customFormat="1" customHeight="1" ht="18.75" hidden="1">
      <c r="A39" s="1248"/>
      <c r="B39" s="1248"/>
      <c r="C39" s="1248"/>
      <c r="D39" s="1248"/>
      <c r="E39" s="1248"/>
      <c r="F39" s="1248"/>
      <c r="G39" s="1248"/>
      <c r="H39" s="1248"/>
      <c r="I39" s="1248"/>
      <c r="J39" s="1248"/>
      <c r="K39" s="1248"/>
      <c r="L39" s="1248"/>
      <c r="M39" s="1380"/>
      <c r="N39" s="1248"/>
      <c r="O39" s="1248"/>
      <c r="P39" s="1248"/>
      <c r="U39" s="2250" t="s">
        <v>431</v>
      </c>
      <c r="V39" s="2250"/>
      <c r="W39" s="1372"/>
      <c r="X39" s="2251" t="str">
        <f>IF(TITLE_NUMBER_PR_CHANGE="",IF(TITLE_NUMBER_PR="","",TITLE_NUMBER_PR),TITLE_NUMBER_PR_CHANGE)</f>
        <v>66</v>
      </c>
      <c r="Y39" s="2251"/>
      <c r="Z39" s="2251"/>
      <c r="AA39" s="2251"/>
      <c r="AB39" s="2251"/>
      <c r="AC39" s="2251"/>
      <c r="AD39" s="2251"/>
      <c r="AE39" s="2251"/>
      <c r="AF39" s="326"/>
      <c r="AG39" s="2251" t="str">
        <f>IF(TITLE_NUMBER_PR_CHANGE="",IF(TITLE_NUMBER_PR="","",TITLE_NUMBER_PR),TITLE_NUMBER_PR_CHANGE)</f>
        <v>66</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432</v>
      </c>
      <c r="AG40" s="326"/>
      <c r="AH40" s="326"/>
      <c r="AI40" s="326"/>
      <c r="AJ40" s="326"/>
      <c r="AK40" s="326"/>
      <c r="AL40" s="326"/>
      <c r="AM40" s="326"/>
      <c r="AN40" s="326"/>
      <c r="AO40" s="278" t="s">
        <v>432</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308</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309</v>
      </c>
      <c r="AW42" s="1155">
        <v>14</v>
      </c>
    </row>
    <row customHeight="1" ht="14.699999999999998">
      <c r="R43" s="376"/>
      <c r="S43" s="376"/>
      <c r="T43" s="376"/>
      <c r="U43" s="2273" t="s">
        <v>92</v>
      </c>
      <c r="V43" s="2209" t="s">
        <v>433</v>
      </c>
      <c r="W43" s="301"/>
      <c r="X43" s="2274" t="s">
        <v>434</v>
      </c>
      <c r="Y43" s="2291"/>
      <c r="Z43" s="2291"/>
      <c r="AA43" s="2291"/>
      <c r="AB43" s="2291"/>
      <c r="AC43" s="2275"/>
      <c r="AD43" s="2275"/>
      <c r="AE43" s="2276"/>
      <c r="AF43" s="2277" t="s">
        <v>435</v>
      </c>
      <c r="AG43" s="2274" t="s">
        <v>434</v>
      </c>
      <c r="AH43" s="2291"/>
      <c r="AI43" s="2291"/>
      <c r="AJ43" s="2291"/>
      <c r="AK43" s="2291"/>
      <c r="AL43" s="2275"/>
      <c r="AM43" s="2275"/>
      <c r="AN43" s="2276"/>
      <c r="AO43" s="2277" t="s">
        <v>436</v>
      </c>
      <c r="AP43" s="2280" t="s">
        <v>437</v>
      </c>
      <c r="AQ43" s="2127"/>
      <c r="AW43" s="1155">
        <v>14</v>
      </c>
    </row>
    <row customHeight="1" ht="35.699999999999996">
      <c r="R44" s="376"/>
      <c r="S44" s="376"/>
      <c r="T44" s="376"/>
      <c r="U44" s="2273"/>
      <c r="V44" s="2209"/>
      <c r="W44" s="1031"/>
      <c r="X44" s="2294" t="s">
        <v>463</v>
      </c>
      <c r="Y44" s="2312" t="s">
        <v>464</v>
      </c>
      <c r="Z44" s="2312"/>
      <c r="AA44" s="2312"/>
      <c r="AB44" s="2312"/>
      <c r="AC44" s="2294" t="s">
        <v>441</v>
      </c>
      <c r="AD44" s="2611"/>
      <c r="AE44" s="2314"/>
      <c r="AF44" s="2278"/>
      <c r="AG44" s="2294" t="s">
        <v>463</v>
      </c>
      <c r="AH44" s="2312" t="s">
        <v>464</v>
      </c>
      <c r="AI44" s="2312"/>
      <c r="AJ44" s="2312"/>
      <c r="AK44" s="2312"/>
      <c r="AL44" s="2294" t="s">
        <v>441</v>
      </c>
      <c r="AM44" s="2611"/>
      <c r="AN44" s="2314"/>
      <c r="AO44" s="2278"/>
      <c r="AP44" s="2281"/>
      <c r="AQ44" s="2127"/>
      <c r="AW44" s="1155">
        <v>34</v>
      </c>
    </row>
    <row customHeight="1" ht="14.699999999999998">
      <c r="R45" s="376"/>
      <c r="S45" s="376"/>
      <c r="T45" s="376"/>
      <c r="U45" s="2273"/>
      <c r="V45" s="2209"/>
      <c r="W45" s="1031"/>
      <c r="X45" s="2325"/>
      <c r="Y45" s="2317" t="s">
        <v>465</v>
      </c>
      <c r="Z45" s="2270" t="s">
        <v>466</v>
      </c>
      <c r="AA45" s="2320"/>
      <c r="AB45" s="2271"/>
      <c r="AC45" s="2295"/>
      <c r="AD45" s="2612"/>
      <c r="AE45" s="2316"/>
      <c r="AF45" s="2278"/>
      <c r="AG45" s="2325"/>
      <c r="AH45" s="2317" t="s">
        <v>465</v>
      </c>
      <c r="AI45" s="2270" t="s">
        <v>466</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467</v>
      </c>
      <c r="AA46" s="2270" t="s">
        <v>468</v>
      </c>
      <c r="AB46" s="2271"/>
      <c r="AC46" s="2317" t="s">
        <v>451</v>
      </c>
      <c r="AD46" s="2321" t="s">
        <v>452</v>
      </c>
      <c r="AE46" s="2322"/>
      <c r="AF46" s="2278"/>
      <c r="AG46" s="2325"/>
      <c r="AH46" s="2318"/>
      <c r="AI46" s="2317" t="s">
        <v>467</v>
      </c>
      <c r="AJ46" s="2270" t="s">
        <v>468</v>
      </c>
      <c r="AK46" s="2271"/>
      <c r="AL46" s="2317" t="s">
        <v>451</v>
      </c>
      <c r="AM46" s="2321" t="s">
        <v>452</v>
      </c>
      <c r="AN46" s="2322"/>
      <c r="AO46" s="2278"/>
      <c r="AP46" s="2281"/>
      <c r="AQ46" s="2127"/>
      <c r="AW46" s="1155">
        <v>26</v>
      </c>
    </row>
    <row customHeight="1" ht="65.25">
      <c r="A47" s="1259"/>
      <c r="B47" s="1259" t="s">
        <v>139</v>
      </c>
      <c r="C47" s="1259" t="s">
        <v>140</v>
      </c>
      <c r="D47" s="1259" t="s">
        <v>141</v>
      </c>
      <c r="E47" s="1310" t="s">
        <v>442</v>
      </c>
      <c r="F47" s="1310" t="s">
        <v>443</v>
      </c>
      <c r="G47" s="1310" t="s">
        <v>444</v>
      </c>
      <c r="H47" s="1310" t="s">
        <v>445</v>
      </c>
      <c r="I47" s="1310" t="s">
        <v>446</v>
      </c>
      <c r="J47" s="1310" t="s">
        <v>447</v>
      </c>
      <c r="K47" s="1310" t="s">
        <v>448</v>
      </c>
      <c r="L47" s="1310" t="s">
        <v>469</v>
      </c>
      <c r="M47" s="1310" t="s">
        <v>423</v>
      </c>
      <c r="R47" s="376"/>
      <c r="S47" s="376"/>
      <c r="T47" s="376"/>
      <c r="U47" s="2273"/>
      <c r="V47" s="2209"/>
      <c r="W47" s="302"/>
      <c r="X47" s="2295"/>
      <c r="Y47" s="2319"/>
      <c r="Z47" s="2319"/>
      <c r="AA47" s="1222" t="s">
        <v>470</v>
      </c>
      <c r="AB47" s="1222" t="s">
        <v>471</v>
      </c>
      <c r="AC47" s="2319"/>
      <c r="AD47" s="2323"/>
      <c r="AE47" s="2324"/>
      <c r="AF47" s="2279"/>
      <c r="AG47" s="2295"/>
      <c r="AH47" s="2319"/>
      <c r="AI47" s="2319"/>
      <c r="AJ47" s="1222" t="s">
        <v>470</v>
      </c>
      <c r="AK47" s="1222" t="s">
        <v>471</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113</v>
      </c>
      <c r="V48" s="1255" t="s">
        <v>114</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184</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127</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0"/>
      <c r="AT49" s="500" t="str">
        <f>IF(V49="","",V49)</f>
        <v>Наименование тарифа</v>
      </c>
      <c r="AU49" s="500"/>
      <c r="AV49" s="500"/>
      <c r="AW49" s="1155">
        <v>21</v>
      </c>
    </row>
    <row customHeight="1" ht="22.049999999999997">
      <c r="A50" s="1267" t="s">
        <v>184</v>
      </c>
      <c r="B50" s="1267" t="s">
        <v>185</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405</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406</v>
      </c>
      <c r="AS50" s="500"/>
      <c r="AT50" s="500" t="str">
        <f>IF(V50="","",V50)</f>
        <v>Территория действия тарифа</v>
      </c>
      <c r="AU50" s="500"/>
      <c r="AV50" s="500"/>
      <c r="AW50" s="1155">
        <v>21</v>
      </c>
    </row>
    <row customHeight="1" ht="24">
      <c r="A51" s="1267" t="s">
        <v>184</v>
      </c>
      <c r="B51" s="1267" t="s">
        <v>185</v>
      </c>
      <c r="C51" s="1267" t="s">
        <v>186</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407</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408</v>
      </c>
      <c r="AS51" s="500"/>
      <c r="AT51" s="500" t="str">
        <f>IF(V51="","",V51)</f>
        <v>Наименование системы теплоснабжения </v>
      </c>
      <c r="AU51" s="500"/>
      <c r="AV51" s="500"/>
      <c r="AW51" s="1155">
        <v>23</v>
      </c>
    </row>
    <row customHeight="1" ht="22.049999999999997">
      <c r="A52" s="1267" t="s">
        <v>184</v>
      </c>
      <c r="B52" s="1267" t="s">
        <v>185</v>
      </c>
      <c r="C52" s="1267" t="s">
        <v>186</v>
      </c>
      <c r="D52" s="1267" t="s">
        <v>187</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409</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410</v>
      </c>
      <c r="AS52" s="500"/>
      <c r="AT52" s="500" t="str">
        <f>IF(V52="","",V52)</f>
        <v>Источник тепловой энергии  </v>
      </c>
      <c r="AU52" s="500"/>
      <c r="AV52" s="500"/>
      <c r="AW52" s="1155">
        <v>21</v>
      </c>
    </row>
    <row s="1642" customFormat="1" customHeight="1" ht="0">
      <c r="A53" s="1375" t="s">
        <v>184</v>
      </c>
      <c r="B53" s="1375" t="s">
        <v>185</v>
      </c>
      <c r="C53" s="1375" t="s">
        <v>186</v>
      </c>
      <c r="D53" s="1375" t="s">
        <v>187</v>
      </c>
      <c r="E53" s="2290"/>
      <c r="F53" s="2290"/>
      <c r="G53" s="2290"/>
      <c r="H53" s="2311"/>
      <c r="I53" s="2127" t="str">
        <f>U52&amp;".1"</f>
        <v>....1</v>
      </c>
      <c r="J53" s="1375"/>
      <c r="K53" s="1375"/>
      <c r="L53" s="1375"/>
      <c r="M53" s="1381" t="s">
        <v>411</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184</v>
      </c>
      <c r="B54" s="1267" t="s">
        <v>185</v>
      </c>
      <c r="C54" s="1267" t="s">
        <v>186</v>
      </c>
      <c r="D54" s="1267" t="s">
        <v>187</v>
      </c>
      <c r="E54" s="2290"/>
      <c r="F54" s="2290"/>
      <c r="G54" s="2290"/>
      <c r="H54" s="2311"/>
      <c r="I54" s="2101"/>
      <c r="J54" s="2127" t="str">
        <f>I53&amp;".1"</f>
        <v>....1.1</v>
      </c>
      <c r="K54" s="1267"/>
      <c r="L54" s="1267"/>
      <c r="M54" s="1310" t="s">
        <v>414</v>
      </c>
      <c r="Q54" s="2257"/>
      <c r="R54" s="2257">
        <v>1</v>
      </c>
      <c r="S54" s="518"/>
      <c r="T54" s="357"/>
      <c r="U54" s="1336" t="str">
        <f>$J54</f>
        <v>....1.1</v>
      </c>
      <c r="V54" s="286" t="s">
        <v>415</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416</v>
      </c>
      <c r="AS54" s="500"/>
      <c r="AT54" s="500" t="str">
        <f>IF(V54="","",V54)</f>
        <v>Группа потребителей</v>
      </c>
      <c r="AU54" s="500"/>
      <c r="AV54" s="500"/>
      <c r="AW54" s="1155">
        <v>21</v>
      </c>
    </row>
    <row customHeight="1" ht="22.049999999999997">
      <c r="A55" s="1267" t="s">
        <v>184</v>
      </c>
      <c r="B55" s="1267" t="s">
        <v>185</v>
      </c>
      <c r="C55" s="1267" t="s">
        <v>186</v>
      </c>
      <c r="D55" s="1267" t="s">
        <v>187</v>
      </c>
      <c r="E55" s="2290"/>
      <c r="F55" s="2290"/>
      <c r="G55" s="2290"/>
      <c r="H55" s="2311"/>
      <c r="I55" s="2101"/>
      <c r="J55" s="2101"/>
      <c r="K55" s="2127" t="str">
        <f>J54&amp;".1"</f>
        <v>....1.1.1</v>
      </c>
      <c r="L55" s="139"/>
      <c r="M55" s="1310" t="s">
        <v>417</v>
      </c>
      <c r="Q55" s="2257"/>
      <c r="R55" s="2257"/>
      <c r="S55" s="518">
        <v>1</v>
      </c>
      <c r="T55" s="357"/>
      <c r="U55" s="1336" t="str">
        <f>$K55</f>
        <v>....1.1.1</v>
      </c>
      <c r="V55" s="1347"/>
      <c r="W55" s="300"/>
      <c r="X55" s="751"/>
      <c r="Y55" s="751"/>
      <c r="Z55" s="751"/>
      <c r="AA55" s="751"/>
      <c r="AB55" s="1405"/>
      <c r="AC55" s="2265"/>
      <c r="AD55" s="2107" t="s">
        <v>70</v>
      </c>
      <c r="AE55" s="2265"/>
      <c r="AF55" s="2107" t="s">
        <v>70</v>
      </c>
      <c r="AG55" s="1407"/>
      <c r="AH55" s="751"/>
      <c r="AI55" s="751"/>
      <c r="AJ55" s="751"/>
      <c r="AK55" s="1257"/>
      <c r="AL55" s="2265"/>
      <c r="AM55" s="2107" t="s">
        <v>70</v>
      </c>
      <c r="AN55" s="2265"/>
      <c r="AO55" s="2107" t="s">
        <v>70</v>
      </c>
      <c r="AP55" s="1348"/>
      <c r="AQ55" s="1307" t="s">
        <v>460</v>
      </c>
      <c r="AR55" s="511">
        <f>STRCHECKDATE(X57:AP57)</f>
      </c>
      <c r="AS55" s="500"/>
      <c r="AT55" s="500" t="str">
        <f>IF(V55="","",V55)</f>
        <v/>
      </c>
      <c r="AU55" s="500"/>
      <c r="AV55" s="500"/>
      <c r="AW55" s="1155">
        <v>21</v>
      </c>
    </row>
    <row customHeight="1" ht="11.549999999999999">
      <c r="A56" s="1267" t="s">
        <v>184</v>
      </c>
      <c r="B56" s="1267" t="s">
        <v>185</v>
      </c>
      <c r="C56" s="1267" t="s">
        <v>186</v>
      </c>
      <c r="D56" s="1267" t="s">
        <v>187</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461</v>
      </c>
      <c r="AR56" s="511">
        <f>STRCHECKDATE(X58:AP58)</f>
      </c>
      <c r="AS56" s="500"/>
      <c r="AT56" s="500" t="str">
        <f>IF(V56="","",V56)</f>
        <v/>
      </c>
      <c r="AU56" s="500"/>
      <c r="AV56" s="500"/>
      <c r="AW56" s="1155">
        <v>11</v>
      </c>
    </row>
    <row customHeight="1" ht="0">
      <c r="A57" s="1267" t="s">
        <v>184</v>
      </c>
      <c r="B57" s="1267" t="s">
        <v>185</v>
      </c>
      <c r="C57" s="1267" t="s">
        <v>186</v>
      </c>
      <c r="D57" s="1267" t="s">
        <v>187</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184</v>
      </c>
      <c r="B58" s="1267" t="s">
        <v>185</v>
      </c>
      <c r="C58" s="1267" t="s">
        <v>186</v>
      </c>
      <c r="D58" s="1267" t="s">
        <v>187</v>
      </c>
      <c r="E58" s="2290"/>
      <c r="F58" s="2290"/>
      <c r="G58" s="2290"/>
      <c r="H58" s="2311"/>
      <c r="I58" s="2101"/>
      <c r="J58" s="2101"/>
      <c r="K58" s="2127"/>
      <c r="L58" s="1267"/>
      <c r="M58" s="1310"/>
      <c r="Q58" s="2257"/>
      <c r="R58" s="2257"/>
      <c r="S58" s="1331"/>
      <c r="T58" s="356"/>
      <c r="U58" s="1278"/>
      <c r="V58" s="288" t="s">
        <v>462</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184</v>
      </c>
      <c r="B59" s="1267" t="s">
        <v>185</v>
      </c>
      <c r="C59" s="1267" t="s">
        <v>186</v>
      </c>
      <c r="D59" s="1267" t="s">
        <v>187</v>
      </c>
      <c r="E59" s="2290"/>
      <c r="F59" s="2290"/>
      <c r="G59" s="2290"/>
      <c r="H59" s="2311"/>
      <c r="I59" s="2101"/>
      <c r="J59" s="2127"/>
      <c r="K59" s="1267"/>
      <c r="L59" s="1267"/>
      <c r="M59" s="1310"/>
      <c r="Q59" s="2257"/>
      <c r="R59" s="2257"/>
      <c r="S59" s="1331"/>
      <c r="T59" s="356"/>
      <c r="U59" s="1278"/>
      <c r="V59" s="287" t="s">
        <v>419</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184</v>
      </c>
      <c r="B60" s="1267" t="s">
        <v>185</v>
      </c>
      <c r="C60" s="1267" t="s">
        <v>186</v>
      </c>
      <c r="D60" s="1267" t="s">
        <v>187</v>
      </c>
      <c r="E60" s="2290"/>
      <c r="F60" s="2290"/>
      <c r="G60" s="2290"/>
      <c r="H60" s="2311"/>
      <c r="I60" s="2127"/>
      <c r="J60" s="1267"/>
      <c r="K60" s="1267"/>
      <c r="L60" s="1267"/>
      <c r="M60" s="1310"/>
      <c r="Q60" s="2257"/>
      <c r="R60" s="1331"/>
      <c r="S60" s="1331"/>
      <c r="T60" s="356"/>
      <c r="U60" s="1278"/>
      <c r="V60" s="365" t="s">
        <v>420</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184</v>
      </c>
      <c r="B61" s="1267" t="s">
        <v>185</v>
      </c>
      <c r="C61" s="1267" t="s">
        <v>186</v>
      </c>
      <c r="D61" s="1267" t="s">
        <v>187</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184</v>
      </c>
      <c r="B62" s="1375" t="s">
        <v>185</v>
      </c>
      <c r="C62" s="1375" t="s">
        <v>186</v>
      </c>
      <c r="D62" s="1374"/>
      <c r="E62" s="2290"/>
      <c r="F62" s="2290"/>
      <c r="G62" s="2289"/>
      <c r="H62" s="1374"/>
      <c r="I62" s="1374"/>
      <c r="J62" s="1374"/>
      <c r="K62" s="1374"/>
      <c r="L62" s="1374"/>
      <c r="M62" s="1377"/>
      <c r="N62" s="1378"/>
      <c r="O62" s="1378"/>
      <c r="P62" s="351"/>
      <c r="Q62" s="1316"/>
      <c r="R62" s="1317"/>
      <c r="S62" s="1316"/>
      <c r="T62" s="1316"/>
      <c r="U62" s="1322"/>
      <c r="V62" s="1325" t="s">
        <v>172</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184</v>
      </c>
      <c r="B63" s="1375" t="s">
        <v>185</v>
      </c>
      <c r="C63" s="1374"/>
      <c r="D63" s="1374"/>
      <c r="E63" s="2290"/>
      <c r="F63" s="2289"/>
      <c r="G63" s="1374"/>
      <c r="H63" s="1374"/>
      <c r="I63" s="1374"/>
      <c r="J63" s="1374"/>
      <c r="K63" s="1374"/>
      <c r="L63" s="1374"/>
      <c r="M63" s="1377"/>
      <c r="N63" s="1379"/>
      <c r="O63" s="1379"/>
      <c r="P63" s="351"/>
      <c r="Q63" s="1316"/>
      <c r="R63" s="1317"/>
      <c r="S63" s="1316"/>
      <c r="T63" s="1316"/>
      <c r="U63" s="1322"/>
      <c r="V63" s="1325" t="s">
        <v>173</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184</v>
      </c>
      <c r="B64" s="1375"/>
      <c r="C64" s="1375"/>
      <c r="D64" s="1375"/>
      <c r="E64" s="2289"/>
      <c r="F64" s="1375"/>
      <c r="G64" s="1375"/>
      <c r="H64" s="1375"/>
      <c r="I64" s="1375"/>
      <c r="J64" s="1375"/>
      <c r="K64" s="1375"/>
      <c r="L64" s="1375"/>
      <c r="M64" s="1381"/>
      <c r="N64" s="1379"/>
      <c r="O64" s="1379"/>
      <c r="P64" s="351"/>
      <c r="Q64" s="380"/>
      <c r="R64" s="1344"/>
      <c r="S64" s="380"/>
      <c r="T64" s="380"/>
      <c r="U64" s="1322"/>
      <c r="V64" s="1325" t="s">
        <v>174</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175</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86</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ACD8088-FA16-622D-5419-914A0837FEBA}" mc:Ignorable="x14ac xr xr2 xr3">
  <sheetPr>
    <tabColor rgb="FFCCCCFF"/>
  </sheetPr>
  <dimension ref="A1:Q79"/>
  <sheetViews>
    <sheetView topLeftCell="C37" showGridLines="0" zoomScale="90" workbookViewId="0">
      <selection activeCell="F49" sqref="F49"/>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PP110.OPEN.INFO.PRICE.HEAT.EIAS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Показатели, подлежащие раскрытию в сфере теплоснабжения (цены и тарифы)</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c r="A11" s="2098" t="s">
        <v>20</v>
      </c>
      <c r="D11" s="75"/>
      <c r="E11" s="1165" t="s">
        <v>21</v>
      </c>
      <c r="F11" s="1732">
        <v>45292</v>
      </c>
      <c r="G11" s="77"/>
      <c r="H11" s="773" t="s">
        <v>22</v>
      </c>
      <c r="J11" s="876" t="s">
        <v>23</v>
      </c>
      <c r="Q11" s="74">
        <v>0</v>
      </c>
    </row>
    <row customHeight="1" ht="22.5">
      <c r="A12" s="2098"/>
      <c r="D12" s="75"/>
      <c r="E12" s="1165" t="s">
        <v>24</v>
      </c>
      <c r="F12" s="1732">
        <v>47118</v>
      </c>
      <c r="G12" s="73"/>
      <c r="J12" s="876" t="s">
        <v>25</v>
      </c>
      <c r="Q12" s="74">
        <v>0</v>
      </c>
    </row>
    <row s="1635" customFormat="1" customHeight="1" ht="22.5" hidden="1">
      <c r="A13" s="788" t="s">
        <v>26</v>
      </c>
      <c r="B13" s="98"/>
      <c r="C13" s="408"/>
      <c r="D13" s="410"/>
      <c r="E13" s="1775" t="s">
        <v>27</v>
      </c>
      <c r="F13" s="1732" t="s">
        <v>28</v>
      </c>
      <c r="G13" s="77"/>
      <c r="H13" s="770"/>
      <c r="I13" s="411"/>
      <c r="J13" s="1776" t="s">
        <v>29</v>
      </c>
      <c r="Q13" s="409">
        <v>0</v>
      </c>
    </row>
    <row s="1635" customFormat="1" customHeight="1" ht="27" hidden="1">
      <c r="A14" s="788" t="s">
        <v>30</v>
      </c>
      <c r="B14" s="98"/>
      <c r="C14" s="408"/>
      <c r="D14" s="410"/>
      <c r="E14" s="1165" t="s">
        <v>31</v>
      </c>
      <c r="F14" s="1767"/>
      <c r="G14" s="77"/>
      <c r="H14" s="770"/>
      <c r="I14" s="411"/>
      <c r="J14" s="876" t="s">
        <v>32</v>
      </c>
      <c r="Q14" s="409">
        <v>0</v>
      </c>
    </row>
    <row s="1635" customFormat="1" customHeight="1" ht="19.5" hidden="1">
      <c r="A15" s="788" t="s">
        <v>33</v>
      </c>
      <c r="B15" s="98"/>
      <c r="C15" s="408"/>
      <c r="D15" s="410"/>
      <c r="E15" s="1165" t="s">
        <v>34</v>
      </c>
      <c r="F15" s="1767"/>
      <c r="G15" s="77"/>
      <c r="H15" s="770"/>
      <c r="I15" s="411"/>
      <c r="J15" s="876" t="s">
        <v>35</v>
      </c>
      <c r="Q15" s="409">
        <v>0</v>
      </c>
    </row>
    <row s="1612" customFormat="1" customHeight="1" ht="6.3">
      <c r="A16" s="785"/>
      <c r="B16" s="232"/>
      <c r="C16" s="233"/>
      <c r="D16" s="239"/>
      <c r="E16" s="237"/>
      <c r="F16" s="240"/>
      <c r="G16" s="77"/>
      <c r="H16" s="409"/>
      <c r="I16" s="411"/>
      <c r="J16" s="874"/>
      <c r="Q16" s="236">
        <v>6</v>
      </c>
    </row>
    <row customHeight="1" ht="21">
      <c r="D17" s="75"/>
      <c r="E17" s="391" t="s">
        <v>36</v>
      </c>
      <c r="F17" s="2576" t="s">
        <v>37</v>
      </c>
      <c r="G17" s="73"/>
      <c r="H17" s="773" t="s">
        <v>22</v>
      </c>
      <c r="Q17" s="74">
        <v>20</v>
      </c>
    </row>
    <row customHeight="1" ht="25.5">
      <c r="D18" s="75"/>
      <c r="E18" s="1775" t="s">
        <v>38</v>
      </c>
      <c r="F18" s="2629">
        <v>46010</v>
      </c>
      <c r="G18" s="73"/>
      <c r="I18" s="774"/>
      <c r="J18" s="2097" t="s">
        <v>39</v>
      </c>
      <c r="Q18" s="74">
        <v>0</v>
      </c>
    </row>
    <row customHeight="1" ht="25.5">
      <c r="D19" s="75"/>
      <c r="E19" s="1165"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629">
        <v>46023</v>
      </c>
      <c r="G19" s="73"/>
      <c r="I19" s="774"/>
      <c r="J19" s="2097"/>
      <c r="Q19" s="74">
        <v>0</v>
      </c>
    </row>
    <row customHeight="1" ht="22.5">
      <c r="D20" s="75"/>
      <c r="E20" s="76"/>
      <c r="F20" s="270" t="str">
        <f>"Первичное "&amp;IF(TEMPLATE_GROUP="P","установление тарифов","предложение по тарифам")</f>
        <v>Первичное установление тарифов</v>
      </c>
      <c r="G20" s="73"/>
      <c r="I20" s="394"/>
      <c r="J20" s="875" t="s">
        <v>40</v>
      </c>
      <c r="Q20" s="74">
        <v>0</v>
      </c>
    </row>
    <row customHeight="1" ht="19.5">
      <c r="D21" s="75"/>
      <c r="E21" s="391" t="str">
        <f>"Дата "&amp;IF(TEMPLATE_GROUP="P","документа","подачи заявления")&amp;" об утверждении тарифов"</f>
        <v>Дата документа об утверждении тарифов</v>
      </c>
      <c r="F21" s="1732">
        <v>45225</v>
      </c>
      <c r="G21" s="73"/>
      <c r="I21" s="775"/>
      <c r="Q21" s="74">
        <v>0</v>
      </c>
    </row>
    <row customHeight="1" ht="19.5">
      <c r="D22" s="75"/>
      <c r="E22" s="391" t="str">
        <f>"Номер "&amp;IF(TEMPLATE_GROUP="P","документа","подачи заявления")&amp;" об утверждении тарифов"</f>
        <v>Номер документа об утверждении тарифов</v>
      </c>
      <c r="F22" s="216" t="s">
        <v>41</v>
      </c>
      <c r="G22" s="73"/>
      <c r="I22" s="775"/>
      <c r="Q22" s="74">
        <v>0</v>
      </c>
    </row>
    <row customHeight="1" ht="22.5">
      <c r="D23" s="75"/>
      <c r="E23" s="391" t="s">
        <v>42</v>
      </c>
      <c r="F23" s="216" t="s">
        <v>43</v>
      </c>
      <c r="G23" s="73"/>
      <c r="Q23" s="74">
        <v>0</v>
      </c>
    </row>
    <row customHeight="1" ht="19.5">
      <c r="D24" s="75"/>
      <c r="E24" s="391" t="s">
        <v>44</v>
      </c>
      <c r="F24" s="216" t="s">
        <v>45</v>
      </c>
      <c r="G24" s="73"/>
      <c r="Q24" s="74">
        <v>0</v>
      </c>
    </row>
    <row customHeight="1" ht="22.5">
      <c r="D25" s="75"/>
      <c r="E25" s="76"/>
      <c r="F25" s="270" t="str">
        <f>"Изменение "&amp;IF(TEMPLATE_GROUP="P","тарифов","предложения по тарифам")</f>
        <v>Изменение тарифов</v>
      </c>
      <c r="G25" s="73"/>
      <c r="J25" s="875" t="s">
        <v>46</v>
      </c>
      <c r="Q25" s="74">
        <v>0</v>
      </c>
    </row>
    <row customHeight="1" ht="19.5">
      <c r="D26" s="75"/>
      <c r="E26" s="391" t="str">
        <f>"Дата "&amp;IF(TEMPLATE_GROUP="P","принятия решения","подачи заявления")&amp;" об изменении тарифов"</f>
        <v>Дата принятия решения об изменении тарифов</v>
      </c>
      <c r="F26" s="2629">
        <v>46010</v>
      </c>
      <c r="G26" s="73"/>
      <c r="Q26" s="74">
        <v>0</v>
      </c>
    </row>
    <row customHeight="1" ht="19.5">
      <c r="D27" s="75"/>
      <c r="E27" s="1165" t="str">
        <f>"Номер "&amp;IF(TEMPLATE_GROUP="P","принятия решения","заявления")&amp;" об изменении тарифов"</f>
        <v>Номер принятия решения об изменении тарифов</v>
      </c>
      <c r="F27" s="2630" t="s">
        <v>47</v>
      </c>
      <c r="G27" s="73"/>
      <c r="Q27" s="74">
        <v>0</v>
      </c>
    </row>
    <row customHeight="1" ht="24.75">
      <c r="D28" s="75"/>
      <c r="E28" s="391" t="s">
        <v>48</v>
      </c>
      <c r="F28" s="2630" t="s">
        <v>43</v>
      </c>
      <c r="G28" s="73"/>
      <c r="Q28" s="74">
        <v>0</v>
      </c>
    </row>
    <row customHeight="1" ht="19.5">
      <c r="D29" s="75"/>
      <c r="E29" s="391" t="s">
        <v>44</v>
      </c>
      <c r="F29" s="2631" t="s">
        <v>49</v>
      </c>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50</v>
      </c>
      <c r="G31" s="776"/>
      <c r="Q31" s="74">
        <v>20</v>
      </c>
    </row>
    <row customHeight="1" ht="21" hidden="1">
      <c r="C32" s="78"/>
      <c r="D32" s="79"/>
      <c r="E32" s="392" t="s">
        <v>51</v>
      </c>
      <c r="F32" s="217"/>
      <c r="G32" s="776"/>
      <c r="Q32" s="74">
        <v>20</v>
      </c>
    </row>
    <row customHeight="1" ht="21">
      <c r="C33" s="78"/>
      <c r="D33" s="79"/>
      <c r="E33" s="391" t="s">
        <v>52</v>
      </c>
      <c r="F33" s="217" t="s">
        <v>53</v>
      </c>
      <c r="G33" s="776"/>
      <c r="Q33" s="74">
        <v>20</v>
      </c>
    </row>
    <row customHeight="1" ht="21">
      <c r="C34" s="78"/>
      <c r="D34" s="79"/>
      <c r="E34" s="391" t="s">
        <v>54</v>
      </c>
      <c r="F34" s="217" t="s">
        <v>55</v>
      </c>
      <c r="G34" s="776"/>
      <c r="H34" s="80"/>
      <c r="Q34" s="74">
        <v>20</v>
      </c>
    </row>
    <row s="1612" customFormat="1" customHeight="1" ht="11.549999999999999">
      <c r="A35" s="785"/>
      <c r="B35" s="232"/>
      <c r="C35" s="233"/>
      <c r="D35" s="239"/>
      <c r="E35" s="237"/>
      <c r="F35" s="240"/>
      <c r="G35" s="77"/>
      <c r="H35" s="409"/>
      <c r="I35" s="411"/>
      <c r="J35" s="874"/>
      <c r="Q35" s="236">
        <v>11</v>
      </c>
    </row>
    <row customHeight="1" ht="19.5">
      <c r="A36" s="879"/>
      <c r="D36" s="79"/>
      <c r="E36" s="391" t="s">
        <v>56</v>
      </c>
      <c r="F36" s="1210" t="s">
        <v>57</v>
      </c>
      <c r="G36" s="77"/>
      <c r="Q36" s="74">
        <v>0</v>
      </c>
    </row>
    <row customHeight="1" ht="21">
      <c r="A37" s="879"/>
      <c r="D37" s="79"/>
      <c r="E37" s="391" t="s">
        <v>58</v>
      </c>
      <c r="F37" s="1210" t="s">
        <v>59</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60</v>
      </c>
      <c r="F39" s="710" t="s">
        <v>19</v>
      </c>
      <c r="G39" s="73"/>
      <c r="H39" s="773" t="s">
        <v>22</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26</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0" t="s">
        <v>19</v>
      </c>
      <c r="G41" s="73"/>
      <c r="I41" s="411"/>
      <c r="J41" s="876"/>
      <c r="Q41" s="409">
        <v>0</v>
      </c>
    </row>
    <row s="1612" customFormat="1" customHeight="1" ht="6">
      <c r="A42" s="784"/>
      <c r="B42" s="426"/>
      <c r="C42" s="427"/>
      <c r="D42" s="428"/>
      <c r="E42" s="429"/>
      <c r="F42" s="1053"/>
      <c r="G42" s="73"/>
      <c r="H42" s="409"/>
      <c r="I42" s="411"/>
      <c r="J42" s="874"/>
      <c r="Q42" s="430">
        <v>0</v>
      </c>
    </row>
    <row s="1635" customFormat="1" customHeight="1" ht="27" hidden="1">
      <c r="A43" s="784"/>
      <c r="B43" s="413"/>
      <c r="C43" s="408"/>
      <c r="D43" s="410"/>
      <c r="E43" s="391" t="s">
        <v>61</v>
      </c>
      <c r="F43" s="710" t="s">
        <v>19</v>
      </c>
      <c r="G43" s="73"/>
      <c r="I43" s="411"/>
      <c r="J43" s="876"/>
      <c r="Q43" s="409">
        <v>0</v>
      </c>
    </row>
    <row s="1635" customFormat="1" customHeight="1" ht="27" hidden="1">
      <c r="A44" s="784"/>
      <c r="B44" s="413"/>
      <c r="C44" s="408"/>
      <c r="D44" s="410"/>
      <c r="E44" s="1165" t="s">
        <v>62</v>
      </c>
      <c r="F44" s="1888"/>
      <c r="G44" s="73"/>
      <c r="I44" s="411"/>
      <c r="J44" s="876"/>
      <c r="Q44" s="409">
        <v>0</v>
      </c>
    </row>
    <row s="1612" customFormat="1" customHeight="1" ht="6">
      <c r="A45" s="784"/>
      <c r="B45" s="426"/>
      <c r="C45" s="427"/>
      <c r="D45" s="428"/>
      <c r="E45" s="429"/>
      <c r="F45" s="1053"/>
      <c r="G45" s="73"/>
      <c r="H45" s="409"/>
      <c r="I45" s="411"/>
      <c r="J45" s="876"/>
      <c r="Q45" s="430">
        <v>0</v>
      </c>
    </row>
    <row s="1612" customFormat="1" customHeight="1" ht="24.75">
      <c r="A46" s="784"/>
      <c r="B46" s="426"/>
      <c r="C46" s="427"/>
      <c r="D46" s="428"/>
      <c r="E46" s="1165" t="s">
        <v>63</v>
      </c>
      <c r="F46" s="710" t="s">
        <v>19</v>
      </c>
      <c r="G46" s="73"/>
      <c r="H46" s="409"/>
      <c r="I46" s="411"/>
      <c r="J46" s="876"/>
      <c r="Q46" s="430">
        <v>0</v>
      </c>
    </row>
    <row s="1635" customFormat="1" customHeight="1" ht="24.75">
      <c r="A47" s="784"/>
      <c r="B47" s="413"/>
      <c r="C47" s="408"/>
      <c r="D47" s="410"/>
      <c r="E47" s="1165" t="s">
        <v>64</v>
      </c>
      <c r="F47" s="710" t="s">
        <v>19</v>
      </c>
      <c r="G47" s="73"/>
      <c r="I47" s="411"/>
      <c r="J47" s="876"/>
      <c r="Q47" s="409">
        <v>0</v>
      </c>
    </row>
    <row s="1612" customFormat="1" customHeight="1" ht="6">
      <c r="A48" s="784"/>
      <c r="B48" s="232"/>
      <c r="C48" s="233"/>
      <c r="D48" s="234"/>
      <c r="E48" s="235"/>
      <c r="F48" s="1053"/>
      <c r="G48" s="73"/>
      <c r="H48" s="409"/>
      <c r="I48" s="411"/>
      <c r="J48" s="876"/>
      <c r="Q48" s="236">
        <v>0</v>
      </c>
    </row>
    <row customHeight="1" ht="29.25">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0" t="s">
        <v>19</v>
      </c>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65</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66</v>
      </c>
      <c r="F53" s="1048" t="s">
        <v>19</v>
      </c>
      <c r="G53" s="532"/>
      <c r="I53" s="534"/>
      <c r="J53" s="878"/>
      <c r="P53" s="535"/>
      <c r="Q53" s="533">
        <v>0</v>
      </c>
    </row>
    <row s="1635" customFormat="1" customHeight="1" ht="27" hidden="1">
      <c r="A54" s="786"/>
      <c r="B54" s="413"/>
      <c r="C54" s="530"/>
      <c r="D54" s="531"/>
      <c r="E54" s="391" t="s">
        <v>67</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68</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69</v>
      </c>
      <c r="F58" s="1048" t="s">
        <v>70</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89"/>
      <c r="G59" s="532"/>
      <c r="I59" s="534"/>
      <c r="J59" s="878"/>
      <c r="P59" s="535"/>
      <c r="Q59" s="533">
        <v>0</v>
      </c>
    </row>
    <row s="1635" customFormat="1" customHeight="1" ht="15" hidden="1">
      <c r="A60" s="786"/>
      <c r="B60" s="413"/>
      <c r="C60" s="530"/>
      <c r="D60" s="531"/>
      <c r="E60" s="1165" t="s">
        <v>71</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72</v>
      </c>
      <c r="F62" s="1671" t="s">
        <v>70</v>
      </c>
      <c r="G62" s="73"/>
      <c r="H62" s="773" t="s">
        <v>22</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73</v>
      </c>
      <c r="F64" s="216" t="s">
        <v>74</v>
      </c>
      <c r="G64" s="77"/>
      <c r="Q64" s="74">
        <v>20</v>
      </c>
    </row>
    <row customHeight="1" ht="21">
      <c r="A65" s="787"/>
      <c r="B65" s="99"/>
      <c r="D65" s="82"/>
      <c r="E65" s="391" t="s">
        <v>75</v>
      </c>
      <c r="F65" s="216" t="s">
        <v>76</v>
      </c>
      <c r="G65" s="77"/>
      <c r="Q65" s="74">
        <v>20</v>
      </c>
    </row>
    <row customHeight="1" ht="36.75">
      <c r="D66" s="75"/>
      <c r="E66" s="393" t="s">
        <v>77</v>
      </c>
      <c r="F66" s="1054"/>
      <c r="G66" s="73"/>
      <c r="Q66" s="74">
        <v>35</v>
      </c>
    </row>
    <row customHeight="1" ht="21">
      <c r="A67" s="787"/>
      <c r="D67" s="410"/>
      <c r="E67" s="391" t="s">
        <v>78</v>
      </c>
      <c r="F67" s="271" t="s">
        <v>79</v>
      </c>
      <c r="G67" s="77"/>
      <c r="Q67" s="74">
        <v>20</v>
      </c>
    </row>
    <row customHeight="1" ht="21">
      <c r="A68" s="787"/>
      <c r="B68" s="99"/>
      <c r="D68" s="82"/>
      <c r="E68" s="391" t="s">
        <v>80</v>
      </c>
      <c r="F68" s="271" t="s">
        <v>81</v>
      </c>
      <c r="G68" s="77"/>
      <c r="Q68" s="74">
        <v>20</v>
      </c>
    </row>
    <row customHeight="1" ht="21">
      <c r="A69" s="787"/>
      <c r="B69" s="99"/>
      <c r="D69" s="82"/>
      <c r="E69" s="391" t="s">
        <v>82</v>
      </c>
      <c r="F69" s="271" t="s">
        <v>83</v>
      </c>
      <c r="G69" s="77"/>
      <c r="Q69" s="74">
        <v>20</v>
      </c>
    </row>
    <row customHeight="1" ht="21">
      <c r="D70" s="410"/>
      <c r="E70" s="391" t="s">
        <v>84</v>
      </c>
      <c r="F70" s="2632" t="s">
        <v>85</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86</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2A5FD3E8-68F8-0298-BCF1-7CF8BB62B397}"/>
    <hyperlink ref="H17" location="Титульный!H9" display="Как заполнить?" tooltip="Помощь по работе с полями отчётной формы" xr:uid="{7CE52748-8668-E648-F748-93C1F05AA418}"/>
    <hyperlink ref="F29" r:id="rId4" xr:uid="{2C02C3D8-5E07-ABA8-1598-72BAADE5FFD8}"/>
    <hyperlink ref="H39" location="Титульный!H9" display="Как заполнить?" tooltip="Помощь по работе с полями отчётной формы" xr:uid="{263CE9DA-B618-45A9-47E8-6E4E5F919278}"/>
    <hyperlink ref="H62" location="Титульный!H9" display="Как заполнить?" tooltip="Помощь по работе с полями отчётной формы" xr:uid="{41AFC8B8-00B8-FE38-3957-3DDC32862FAA}"/>
    <hyperlink ref="F70" r:id="rId5" xr:uid="{656DBE48-D6F8-4278-D958-94B13339A7A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AD4A38-81C7-9D5F-F6A8-B7C884672AC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127</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404</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405</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406</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407</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408</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409</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410</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411</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70</v>
      </c>
      <c r="Z8" s="2265"/>
      <c r="AA8" s="2107" t="s">
        <v>70</v>
      </c>
      <c r="AB8" s="2107" t="s">
        <v>19</v>
      </c>
      <c r="AC8" s="2326"/>
      <c r="AD8" s="2205">
        <v>1</v>
      </c>
      <c r="AE8" s="2327"/>
      <c r="AF8" s="2107" t="s">
        <v>19</v>
      </c>
      <c r="AG8" s="2326"/>
      <c r="AH8" s="2205">
        <v>1</v>
      </c>
      <c r="AI8" s="2327"/>
      <c r="AJ8" s="2107" t="s">
        <v>19</v>
      </c>
      <c r="AK8" s="311"/>
      <c r="AL8" s="1337">
        <v>1</v>
      </c>
      <c r="AM8" s="1398"/>
      <c r="AN8" s="751"/>
      <c r="AO8" s="1257"/>
      <c r="AP8" s="1734"/>
      <c r="AQ8" s="1459" t="s">
        <v>70</v>
      </c>
      <c r="AR8" s="1734"/>
      <c r="AS8" s="1459" t="s">
        <v>70</v>
      </c>
      <c r="AT8" s="1348"/>
      <c r="AU8" s="2253" t="s">
        <v>472</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473</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474</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475</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476</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172</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173</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174</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70</v>
      </c>
      <c r="AR19" s="1736"/>
      <c r="AS19" s="1460" t="s">
        <v>70</v>
      </c>
      <c r="BA19" s="1155">
        <v>0</v>
      </c>
    </row>
    <row customHeight="1" ht="14.25" hidden="1">
      <c r="AV20" s="496"/>
      <c r="AW20" s="496"/>
      <c r="AX20" s="496"/>
      <c r="AY20" s="496"/>
      <c r="AZ20" s="496"/>
      <c r="BA20" s="1155">
        <v>0</v>
      </c>
    </row>
    <row customHeight="1" ht="14.25" hidden="1">
      <c r="O21" s="1367" t="s">
        <v>422</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423</v>
      </c>
      <c r="P23" s="1508"/>
      <c r="Q23" s="1510"/>
      <c r="R23" s="1510"/>
      <c r="Y23" s="1507" t="s">
        <v>425</v>
      </c>
      <c r="AA23" s="1507" t="s">
        <v>426</v>
      </c>
      <c r="AB23" s="1507" t="s">
        <v>477</v>
      </c>
      <c r="AE23" s="1507" t="s">
        <v>478</v>
      </c>
      <c r="AF23" s="1507" t="s">
        <v>477</v>
      </c>
      <c r="AI23" s="1507" t="s">
        <v>479</v>
      </c>
      <c r="AJ23" s="1507" t="s">
        <v>477</v>
      </c>
      <c r="AM23" s="1507" t="s">
        <v>480</v>
      </c>
      <c r="AQ23" s="1507" t="s">
        <v>425</v>
      </c>
      <c r="AS23" s="1507" t="s">
        <v>426</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ООО "Энерго-Сервис"</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Комитет по тарифам и ценам Курской области</v>
      </c>
      <c r="W30" s="2251"/>
      <c r="X30" s="2251"/>
      <c r="Y30" s="2251"/>
      <c r="Z30" s="2251"/>
      <c r="AA30" s="326"/>
      <c r="AB30" s="2251" t="str">
        <f>IF(TITLE_NAME_OR_PR_CHANGE="",IF(TITLE_NAME_OR_PR="","",TITLE_NAME_OR_PR),TITLE_NAME_OR_PR_CHANGE)</f>
        <v>Комитет по тарифам и ценам Курской области</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c r="A31" s="1368"/>
      <c r="B31" s="1368"/>
      <c r="C31" s="1368"/>
      <c r="D31" s="1368"/>
      <c r="E31" s="1368"/>
      <c r="F31" s="1368"/>
      <c r="G31" s="1368"/>
      <c r="H31" s="1368"/>
      <c r="I31" s="1368"/>
      <c r="J31" s="1368"/>
      <c r="K31" s="1368"/>
      <c r="L31" s="1369"/>
      <c r="M31" s="1368"/>
      <c r="N31" s="1368"/>
      <c r="O31" s="1368"/>
      <c r="P31" s="1368"/>
      <c r="Q31" s="1368"/>
      <c r="S31" s="2250" t="s">
        <v>428</v>
      </c>
      <c r="T31" s="2250"/>
      <c r="U31" s="1372"/>
      <c r="V31" s="2264" t="str">
        <f>IF(TITLE_DATE_PR_CHANGE="",IF(TITLE_DATE_PR="","",TITLE_DATE_PR),TITLE_DATE_PR_CHANGE)</f>
        <v>46010</v>
      </c>
      <c r="W31" s="2264"/>
      <c r="X31" s="2264"/>
      <c r="Y31" s="2264"/>
      <c r="Z31" s="2264"/>
      <c r="AA31" s="326"/>
      <c r="AB31" s="2264" t="str">
        <f>IF(TITLE_DATE_PR_CHANGE="",IF(TITLE_DATE_PR="","",TITLE_DATE_PR),TITLE_DATE_PR_CHANGE)</f>
        <v>46010</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429</v>
      </c>
      <c r="T32" s="2250"/>
      <c r="U32" s="1372"/>
      <c r="V32" s="2251" t="str">
        <f>IF(TITLE_NUMBER_PR_CHANGE="",IF(TITLE_NUMBER_PR="","",TITLE_NUMBER_PR),TITLE_NUMBER_PR_CHANGE)</f>
        <v>66</v>
      </c>
      <c r="W32" s="2251"/>
      <c r="X32" s="2251"/>
      <c r="Y32" s="2251"/>
      <c r="Z32" s="2251"/>
      <c r="AA32" s="326"/>
      <c r="AB32" s="2251" t="str">
        <f>IF(TITLE_NUMBER_PR_CHANGE="",IF(TITLE_NUMBER_PR="","",TITLE_NUMBER_PR),TITLE_NUMBER_PR_CHANGE)</f>
        <v>66</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44</v>
      </c>
      <c r="T33" s="2250"/>
      <c r="U33" s="1372"/>
      <c r="V33" s="2251" t="str">
        <f>IF(TITLE_IST_PUB_CHANGE="",IF(TITLE_IST_PUB="","",TITLE_IST_PUB),TITLE_IST_PUB_CHANGE)</f>
        <v>https://kurskpravo.ru/accepted-npa-prewev/2528</v>
      </c>
      <c r="W33" s="2251"/>
      <c r="X33" s="2251"/>
      <c r="Y33" s="2251"/>
      <c r="Z33" s="2251"/>
      <c r="AA33" s="326"/>
      <c r="AB33" s="2251" t="str">
        <f>IF(TITLE_IST_PUB_CHANGE="",IF(TITLE_IST_PUB="","",TITLE_IST_PUB),TITLE_IST_PUB_CHANGE)</f>
        <v>https://kurskpravo.ru/accepted-npa-prewev/2528</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hidden="1">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hidden="1">
      <c r="A35" s="1368"/>
      <c r="B35" s="1368"/>
      <c r="C35" s="1368"/>
      <c r="D35" s="1368"/>
      <c r="E35" s="1368"/>
      <c r="F35" s="1368"/>
      <c r="G35" s="1368"/>
      <c r="H35" s="1368"/>
      <c r="I35" s="1368"/>
      <c r="J35" s="1368"/>
      <c r="K35" s="1368"/>
      <c r="L35" s="1369"/>
      <c r="M35" s="1368"/>
      <c r="N35" s="1368"/>
      <c r="O35" s="1368"/>
      <c r="P35" s="1368"/>
      <c r="Q35" s="1368"/>
      <c r="S35" s="2250" t="s">
        <v>428</v>
      </c>
      <c r="T35" s="2250"/>
      <c r="U35" s="1372"/>
      <c r="V35" s="2264" t="str">
        <f>IF(TITLE_DATE_PR_CHANGE="",IF(TITLE_DATE_PR="","",TITLE_DATE_PR),TITLE_DATE_PR_CHANGE)</f>
        <v>46010</v>
      </c>
      <c r="W35" s="2264"/>
      <c r="X35" s="2264"/>
      <c r="Y35" s="2264"/>
      <c r="Z35" s="2264"/>
      <c r="AA35" s="326"/>
      <c r="AB35" s="2264" t="str">
        <f>IF(TITLE_DATE_PR_CHANGE="",IF(TITLE_DATE_PR="","",TITLE_DATE_PR),TITLE_DATE_PR_CHANGE)</f>
        <v>46010</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hidden="1">
      <c r="A36" s="1368"/>
      <c r="B36" s="1368"/>
      <c r="C36" s="1368"/>
      <c r="D36" s="1368"/>
      <c r="E36" s="1368"/>
      <c r="F36" s="1368"/>
      <c r="G36" s="1368"/>
      <c r="H36" s="1368"/>
      <c r="I36" s="1368"/>
      <c r="J36" s="1368"/>
      <c r="K36" s="1368"/>
      <c r="L36" s="1369"/>
      <c r="M36" s="1368"/>
      <c r="N36" s="1368"/>
      <c r="O36" s="1368"/>
      <c r="P36" s="1368"/>
      <c r="Q36" s="1368"/>
      <c r="S36" s="2250" t="s">
        <v>429</v>
      </c>
      <c r="T36" s="2250"/>
      <c r="U36" s="1372"/>
      <c r="V36" s="2251" t="str">
        <f>IF(TITLE_NUMBER_PR_CHANGE="",IF(TITLE_NUMBER_PR="","",TITLE_NUMBER_PR),TITLE_NUMBER_PR_CHANGE)</f>
        <v>66</v>
      </c>
      <c r="W36" s="2251"/>
      <c r="X36" s="2251"/>
      <c r="Y36" s="2251"/>
      <c r="Z36" s="2251"/>
      <c r="AA36" s="326"/>
      <c r="AB36" s="2251" t="str">
        <f>IF(TITLE_NUMBER_PR_CHANGE="",IF(TITLE_NUMBER_PR="","",TITLE_NUMBER_PR),TITLE_NUMBER_PR_CHANGE)</f>
        <v>66</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432</v>
      </c>
      <c r="AB37" s="326"/>
      <c r="AC37" s="326"/>
      <c r="AD37" s="326"/>
      <c r="AE37" s="326"/>
      <c r="AF37" s="326"/>
      <c r="AG37" s="326"/>
      <c r="AH37" s="326"/>
      <c r="AI37" s="326"/>
      <c r="AJ37" s="326"/>
      <c r="AK37" s="326"/>
      <c r="AL37" s="326"/>
      <c r="AM37" s="326"/>
      <c r="AN37" s="326"/>
      <c r="AO37" s="326"/>
      <c r="AP37" s="326"/>
      <c r="AQ37" s="326"/>
      <c r="AR37" s="326"/>
      <c r="AS37" s="278" t="s">
        <v>432</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308</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309</v>
      </c>
      <c r="BA39" s="1155">
        <v>14</v>
      </c>
    </row>
    <row customHeight="1" ht="14.699999999999998">
      <c r="Q40" s="291"/>
      <c r="R40" s="376"/>
      <c r="S40" s="2273" t="s">
        <v>92</v>
      </c>
      <c r="T40" s="2209" t="s">
        <v>481</v>
      </c>
      <c r="U40" s="301"/>
      <c r="V40" s="2275"/>
      <c r="W40" s="2275"/>
      <c r="X40" s="2275"/>
      <c r="Y40" s="2275"/>
      <c r="Z40" s="2276"/>
      <c r="AA40" s="2336" t="s">
        <v>435</v>
      </c>
      <c r="AB40" s="2328" t="s">
        <v>482</v>
      </c>
      <c r="AC40" s="2291"/>
      <c r="AD40" s="2291"/>
      <c r="AE40" s="2329"/>
      <c r="AF40" s="2291" t="s">
        <v>483</v>
      </c>
      <c r="AG40" s="2291"/>
      <c r="AH40" s="2291"/>
      <c r="AI40" s="2329"/>
      <c r="AJ40" s="2328" t="s">
        <v>484</v>
      </c>
      <c r="AK40" s="2291"/>
      <c r="AL40" s="2291"/>
      <c r="AM40" s="2329"/>
      <c r="AN40" s="2328" t="s">
        <v>434</v>
      </c>
      <c r="AO40" s="2291"/>
      <c r="AP40" s="2275"/>
      <c r="AQ40" s="2275"/>
      <c r="AR40" s="2276"/>
      <c r="AS40" s="2277" t="s">
        <v>435</v>
      </c>
      <c r="AT40" s="2280" t="s">
        <v>437</v>
      </c>
      <c r="AU40" s="2127"/>
      <c r="BA40" s="1155">
        <v>14</v>
      </c>
    </row>
    <row customHeight="1" ht="35.699999999999996">
      <c r="Q41" s="291"/>
      <c r="R41" s="376"/>
      <c r="S41" s="2273"/>
      <c r="T41" s="2209"/>
      <c r="U41" s="1031"/>
      <c r="V41" s="2127" t="s">
        <v>485</v>
      </c>
      <c r="W41" s="2127"/>
      <c r="X41" s="2294" t="s">
        <v>441</v>
      </c>
      <c r="Y41" s="2313"/>
      <c r="Z41" s="2314"/>
      <c r="AA41" s="2337"/>
      <c r="AB41" s="2330"/>
      <c r="AC41" s="2331"/>
      <c r="AD41" s="2331"/>
      <c r="AE41" s="2332"/>
      <c r="AF41" s="2331"/>
      <c r="AG41" s="2331"/>
      <c r="AH41" s="2331"/>
      <c r="AI41" s="2332"/>
      <c r="AJ41" s="2330"/>
      <c r="AK41" s="2331"/>
      <c r="AL41" s="2331"/>
      <c r="AM41" s="2331"/>
      <c r="AN41" s="2127" t="s">
        <v>485</v>
      </c>
      <c r="AO41" s="2127"/>
      <c r="AP41" s="2313" t="s">
        <v>441</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139</v>
      </c>
      <c r="C43" s="1370" t="s">
        <v>140</v>
      </c>
      <c r="D43" s="1370" t="s">
        <v>141</v>
      </c>
      <c r="E43" s="1364" t="s">
        <v>442</v>
      </c>
      <c r="F43" s="1364" t="s">
        <v>443</v>
      </c>
      <c r="G43" s="1364" t="s">
        <v>444</v>
      </c>
      <c r="H43" s="1364" t="s">
        <v>445</v>
      </c>
      <c r="I43" s="1364" t="s">
        <v>446</v>
      </c>
      <c r="J43" s="1364" t="s">
        <v>447</v>
      </c>
      <c r="K43" s="1364" t="s">
        <v>448</v>
      </c>
      <c r="L43" s="1364" t="s">
        <v>423</v>
      </c>
      <c r="Q43" s="291"/>
      <c r="R43" s="376"/>
      <c r="S43" s="2273"/>
      <c r="T43" s="2209"/>
      <c r="U43" s="302"/>
      <c r="V43" s="1330" t="s">
        <v>486</v>
      </c>
      <c r="W43" s="1330" t="s">
        <v>487</v>
      </c>
      <c r="X43" s="1338" t="s">
        <v>451</v>
      </c>
      <c r="Y43" s="2270" t="s">
        <v>452</v>
      </c>
      <c r="Z43" s="2271"/>
      <c r="AA43" s="2338"/>
      <c r="AB43" s="2333"/>
      <c r="AC43" s="2334"/>
      <c r="AD43" s="2334"/>
      <c r="AE43" s="2335"/>
      <c r="AF43" s="2334"/>
      <c r="AG43" s="2334"/>
      <c r="AH43" s="2334"/>
      <c r="AI43" s="2335"/>
      <c r="AJ43" s="2333"/>
      <c r="AK43" s="2334"/>
      <c r="AL43" s="2334"/>
      <c r="AM43" s="2335"/>
      <c r="AN43" s="1860" t="s">
        <v>486</v>
      </c>
      <c r="AO43" s="1860" t="s">
        <v>487</v>
      </c>
      <c r="AP43" s="1338" t="s">
        <v>451</v>
      </c>
      <c r="AQ43" s="2270" t="s">
        <v>452</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113</v>
      </c>
      <c r="T44" s="1255" t="s">
        <v>114</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208</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127</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0"/>
      <c r="AX45" s="500" t="str">
        <f>IF(T45="","",T45)</f>
        <v>Наименование тарифа</v>
      </c>
      <c r="AY45" s="500"/>
      <c r="AZ45" s="500"/>
      <c r="BA45" s="1155">
        <v>102</v>
      </c>
    </row>
    <row customHeight="1" ht="22.049999999999997">
      <c r="A46" s="1363" t="s">
        <v>208</v>
      </c>
      <c r="B46" s="1363" t="s">
        <v>209</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405</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406</v>
      </c>
      <c r="AW46" s="500"/>
      <c r="AX46" s="500" t="str">
        <f>IF(T46="","",T46)</f>
        <v>Территория действия тарифа</v>
      </c>
      <c r="AY46" s="500"/>
      <c r="AZ46" s="500"/>
      <c r="BA46" s="1155">
        <v>21</v>
      </c>
    </row>
    <row customHeight="1" ht="24">
      <c r="A47" s="1363" t="s">
        <v>208</v>
      </c>
      <c r="B47" s="1363" t="s">
        <v>209</v>
      </c>
      <c r="C47" s="1363" t="s">
        <v>210</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407</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408</v>
      </c>
      <c r="AW47" s="500"/>
      <c r="AX47" s="500" t="str">
        <f>IF(T47="","",T47)</f>
        <v>Наименование системы теплоснабжения </v>
      </c>
      <c r="AY47" s="500"/>
      <c r="AZ47" s="500"/>
      <c r="BA47" s="1155">
        <v>23</v>
      </c>
    </row>
    <row customHeight="1" ht="21">
      <c r="A48" s="1363" t="s">
        <v>208</v>
      </c>
      <c r="B48" s="1363" t="s">
        <v>209</v>
      </c>
      <c r="C48" s="1363" t="s">
        <v>210</v>
      </c>
      <c r="D48" s="1363" t="s">
        <v>211</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409</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410</v>
      </c>
      <c r="AW48" s="500"/>
      <c r="AX48" s="500" t="str">
        <f>IF(T48="","",T48)</f>
        <v>Источник тепловой энергии  </v>
      </c>
      <c r="AY48" s="500"/>
      <c r="AZ48" s="500"/>
      <c r="BA48" s="1155">
        <v>20</v>
      </c>
    </row>
    <row s="1642" customFormat="1" customHeight="1" ht="1.05">
      <c r="A49" s="1343" t="s">
        <v>208</v>
      </c>
      <c r="B49" s="1343" t="s">
        <v>209</v>
      </c>
      <c r="C49" s="1343" t="s">
        <v>210</v>
      </c>
      <c r="D49" s="1343" t="s">
        <v>211</v>
      </c>
      <c r="E49" s="2259"/>
      <c r="F49" s="2259"/>
      <c r="G49" s="2259"/>
      <c r="H49" s="2259"/>
      <c r="I49" s="2256" t="str">
        <f>S48&amp;".1"</f>
        <v>....1</v>
      </c>
      <c r="J49" s="1343"/>
      <c r="K49" s="1343"/>
      <c r="L49" s="1346" t="s">
        <v>411</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208</v>
      </c>
      <c r="B50" s="1343" t="s">
        <v>209</v>
      </c>
      <c r="C50" s="1343" t="s">
        <v>210</v>
      </c>
      <c r="D50" s="1343" t="s">
        <v>211</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208</v>
      </c>
      <c r="B51" s="1363" t="s">
        <v>209</v>
      </c>
      <c r="C51" s="1363" t="s">
        <v>210</v>
      </c>
      <c r="D51" s="1363" t="s">
        <v>211</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70</v>
      </c>
      <c r="Z51" s="1734"/>
      <c r="AA51" s="1459" t="s">
        <v>70</v>
      </c>
      <c r="AB51" s="2107" t="s">
        <v>19</v>
      </c>
      <c r="AC51" s="2326"/>
      <c r="AD51" s="2205">
        <v>1</v>
      </c>
      <c r="AE51" s="2348" t="s">
        <v>28</v>
      </c>
      <c r="AF51" s="2107" t="s">
        <v>19</v>
      </c>
      <c r="AG51" s="2326"/>
      <c r="AH51" s="2205">
        <v>1</v>
      </c>
      <c r="AI51" s="2348" t="s">
        <v>28</v>
      </c>
      <c r="AJ51" s="2107" t="s">
        <v>19</v>
      </c>
      <c r="AK51" s="311"/>
      <c r="AL51" s="1337">
        <v>1</v>
      </c>
      <c r="AM51" s="1402"/>
      <c r="AN51" s="751"/>
      <c r="AO51" s="1257"/>
      <c r="AP51" s="1734"/>
      <c r="AQ51" s="1459" t="s">
        <v>70</v>
      </c>
      <c r="AR51" s="1734"/>
      <c r="AS51" s="1459" t="s">
        <v>70</v>
      </c>
      <c r="AT51" s="1348"/>
      <c r="AU51" s="2253" t="s">
        <v>488</v>
      </c>
      <c r="AV51" s="511">
        <f>STRCHECKDATE(V54:AT54)</f>
      </c>
      <c r="AW51" s="500"/>
      <c r="AX51" s="500" t="str">
        <f>IF(T51="","",T51)</f>
        <v/>
      </c>
      <c r="AY51" s="500"/>
      <c r="AZ51" s="500"/>
      <c r="BA51" s="1155">
        <v>21</v>
      </c>
    </row>
    <row customHeight="1" ht="11.549999999999999">
      <c r="A52" s="1363" t="s">
        <v>208</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473</v>
      </c>
      <c r="AN52" s="1393"/>
      <c r="AO52" s="1496"/>
      <c r="AP52" s="1393"/>
      <c r="AQ52" s="1393"/>
      <c r="AR52" s="1393"/>
      <c r="AS52" s="1393"/>
      <c r="AT52" s="1390"/>
      <c r="AU52" s="2254"/>
      <c r="AW52" s="500"/>
      <c r="AX52" s="500"/>
      <c r="AY52" s="500"/>
      <c r="AZ52" s="500"/>
      <c r="BA52" s="1155">
        <v>11</v>
      </c>
    </row>
    <row customHeight="1" ht="11.549999999999999">
      <c r="A53" s="1363" t="s">
        <v>208</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474</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208</v>
      </c>
      <c r="B54" s="1363" t="s">
        <v>209</v>
      </c>
      <c r="C54" s="1363" t="s">
        <v>210</v>
      </c>
      <c r="D54" s="1363" t="s">
        <v>211</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475</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208</v>
      </c>
      <c r="B55" s="1363" t="s">
        <v>209</v>
      </c>
      <c r="C55" s="1363" t="s">
        <v>210</v>
      </c>
      <c r="D55" s="1363" t="s">
        <v>211</v>
      </c>
      <c r="E55" s="2259"/>
      <c r="F55" s="2259"/>
      <c r="G55" s="2259"/>
      <c r="H55" s="2259"/>
      <c r="I55" s="2286"/>
      <c r="J55" s="2256"/>
      <c r="K55" s="1363"/>
      <c r="L55" s="1364"/>
      <c r="P55" s="2257"/>
      <c r="Q55" s="2257"/>
      <c r="R55" s="356"/>
      <c r="S55" s="1278"/>
      <c r="T55" s="287" t="s">
        <v>476</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208</v>
      </c>
      <c r="B56" s="1343" t="s">
        <v>209</v>
      </c>
      <c r="C56" s="1343" t="s">
        <v>210</v>
      </c>
      <c r="D56" s="1343" t="s">
        <v>211</v>
      </c>
      <c r="E56" s="2259"/>
      <c r="F56" s="2259"/>
      <c r="G56" s="2259"/>
      <c r="H56" s="2259"/>
      <c r="I56" s="2256"/>
      <c r="J56" s="1343"/>
      <c r="K56" s="1343"/>
      <c r="L56" s="1346"/>
      <c r="M56" s="510"/>
      <c r="N56" s="510"/>
      <c r="O56" s="510"/>
      <c r="P56" s="2257"/>
      <c r="Q56" s="1331"/>
      <c r="R56" s="356"/>
      <c r="S56" s="1386"/>
      <c r="T56" s="1387" t="s">
        <v>420</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208</v>
      </c>
      <c r="B57" s="1343" t="s">
        <v>209</v>
      </c>
      <c r="C57" s="1343" t="s">
        <v>210</v>
      </c>
      <c r="D57" s="1343" t="s">
        <v>211</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208</v>
      </c>
      <c r="B58" s="1343" t="s">
        <v>209</v>
      </c>
      <c r="C58" s="1343" t="s">
        <v>210</v>
      </c>
      <c r="D58" s="1314"/>
      <c r="E58" s="2259"/>
      <c r="F58" s="2259"/>
      <c r="G58" s="2258"/>
      <c r="H58" s="1314"/>
      <c r="I58" s="1314"/>
      <c r="J58" s="1314"/>
      <c r="K58" s="1314"/>
      <c r="L58" s="1339"/>
      <c r="M58" s="1315"/>
      <c r="N58" s="1315"/>
      <c r="P58" s="1316"/>
      <c r="Q58" s="1317"/>
      <c r="R58" s="1316"/>
      <c r="S58" s="1322"/>
      <c r="T58" s="1325" t="s">
        <v>172</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208</v>
      </c>
      <c r="B59" s="1343" t="s">
        <v>209</v>
      </c>
      <c r="C59" s="1314"/>
      <c r="D59" s="1314"/>
      <c r="E59" s="2259"/>
      <c r="F59" s="2258"/>
      <c r="G59" s="1314"/>
      <c r="H59" s="1314"/>
      <c r="I59" s="1314"/>
      <c r="J59" s="1314"/>
      <c r="K59" s="1314"/>
      <c r="L59" s="1339"/>
      <c r="M59" s="1321"/>
      <c r="N59" s="1321"/>
      <c r="P59" s="1316"/>
      <c r="Q59" s="1317"/>
      <c r="R59" s="1316"/>
      <c r="S59" s="1322"/>
      <c r="T59" s="1325" t="s">
        <v>173</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208</v>
      </c>
      <c r="B60" s="1343"/>
      <c r="C60" s="1343"/>
      <c r="D60" s="1343"/>
      <c r="E60" s="2259"/>
      <c r="F60" s="1343"/>
      <c r="G60" s="1343"/>
      <c r="H60" s="1343"/>
      <c r="I60" s="1343"/>
      <c r="J60" s="1343"/>
      <c r="K60" s="1343"/>
      <c r="L60" s="1346"/>
      <c r="M60" s="1321"/>
      <c r="N60" s="1321"/>
      <c r="O60" s="518"/>
      <c r="P60" s="380"/>
      <c r="Q60" s="1344"/>
      <c r="R60" s="380"/>
      <c r="S60" s="1322"/>
      <c r="T60" s="1325" t="s">
        <v>174</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208</v>
      </c>
      <c r="B61" s="1343"/>
      <c r="C61" s="1343"/>
      <c r="D61" s="1343"/>
      <c r="E61" s="2258"/>
      <c r="F61" s="1343"/>
      <c r="G61" s="1343"/>
      <c r="H61" s="1343"/>
      <c r="I61" s="1343"/>
      <c r="J61" s="1343"/>
      <c r="K61" s="1343"/>
      <c r="L61" s="1346"/>
      <c r="M61" s="1321"/>
      <c r="N61" s="1321"/>
      <c r="O61" s="518"/>
      <c r="P61" s="380"/>
      <c r="Q61" s="1344"/>
      <c r="R61" s="380"/>
      <c r="S61" s="1322"/>
      <c r="T61" s="1325" t="s">
        <v>174</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175</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86</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C19402-5108-7468-654E-416BB9F33AD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127</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405</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406</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489</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490</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491</v>
      </c>
      <c r="U5" s="300"/>
      <c r="V5" s="2350"/>
      <c r="W5" s="2351"/>
      <c r="X5" s="2351"/>
      <c r="Y5" s="2351"/>
      <c r="Z5" s="2351"/>
      <c r="AA5" s="2351"/>
      <c r="AB5" s="2352"/>
      <c r="AC5" s="2353"/>
      <c r="AD5" s="2354"/>
      <c r="AE5" s="2354"/>
      <c r="AF5" s="2354"/>
      <c r="AG5" s="2354"/>
      <c r="AH5" s="2354"/>
      <c r="AI5" s="2354"/>
      <c r="AJ5" s="2355"/>
      <c r="AK5" s="1258" t="s">
        <v>492</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414</v>
      </c>
      <c r="P6" s="2257"/>
      <c r="Q6" s="2257">
        <v>1</v>
      </c>
      <c r="R6" s="357"/>
      <c r="S6" s="1425">
        <f>$J6</f>
      </c>
      <c r="T6" s="286" t="s">
        <v>415</v>
      </c>
      <c r="U6" s="300"/>
      <c r="V6" s="2245"/>
      <c r="W6" s="2246"/>
      <c r="X6" s="2246"/>
      <c r="Y6" s="2246"/>
      <c r="Z6" s="2246"/>
      <c r="AA6" s="2246"/>
      <c r="AB6" s="2247"/>
      <c r="AC6" s="2245"/>
      <c r="AD6" s="2246"/>
      <c r="AE6" s="2246"/>
      <c r="AF6" s="2246"/>
      <c r="AG6" s="2246"/>
      <c r="AH6" s="2246"/>
      <c r="AI6" s="2246"/>
      <c r="AJ6" s="2247"/>
      <c r="AK6" s="1307" t="s">
        <v>493</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70</v>
      </c>
      <c r="AA7" s="2265"/>
      <c r="AB7" s="2107" t="s">
        <v>70</v>
      </c>
      <c r="AC7" s="751"/>
      <c r="AD7" s="751"/>
      <c r="AE7" s="1257"/>
      <c r="AF7" s="2265"/>
      <c r="AG7" s="2107" t="s">
        <v>70</v>
      </c>
      <c r="AH7" s="2287"/>
      <c r="AI7" s="2107" t="s">
        <v>70</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494</v>
      </c>
      <c r="U9" s="367"/>
      <c r="V9" s="367"/>
      <c r="W9" s="367"/>
      <c r="X9" s="367"/>
      <c r="Y9" s="367"/>
      <c r="Z9" s="367"/>
      <c r="AA9" s="367"/>
      <c r="AB9" s="367"/>
      <c r="AC9" s="367"/>
      <c r="AD9" s="367"/>
      <c r="AE9" s="367"/>
      <c r="AF9" s="367"/>
      <c r="AG9" s="367"/>
      <c r="AH9" s="367"/>
      <c r="AI9" s="367"/>
      <c r="AJ9" s="367"/>
      <c r="AK9" s="1258" t="s">
        <v>495</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420</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496</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173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174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70</v>
      </c>
      <c r="AH15" s="2267"/>
      <c r="AI15" s="2268" t="s">
        <v>70</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422</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423</v>
      </c>
      <c r="P20" s="1362"/>
      <c r="Q20" s="1442"/>
      <c r="R20" s="1442"/>
      <c r="S20" s="729"/>
      <c r="T20" s="1160" t="s">
        <v>424</v>
      </c>
      <c r="Z20" s="186" t="s">
        <v>425</v>
      </c>
      <c r="AB20" s="186" t="s">
        <v>426</v>
      </c>
      <c r="AC20" s="1160" t="s">
        <v>424</v>
      </c>
      <c r="AG20" s="186" t="s">
        <v>427</v>
      </c>
      <c r="AI20" s="186" t="s">
        <v>426</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ООО "Энерго-Сервис"</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тарифам и ценам Курской области</v>
      </c>
      <c r="W27" s="2251"/>
      <c r="X27" s="2251"/>
      <c r="Y27" s="2251"/>
      <c r="Z27" s="2251"/>
      <c r="AA27" s="2251"/>
      <c r="AB27" s="326"/>
      <c r="AC27" s="2251" t="str">
        <f>IF(TITLE_NAME_OR_PR_CHANGE="",IF(TITLE_NAME_OR_PR="","",TITLE_NAME_OR_PR),TITLE_NAME_OR_PR_CHANGE)</f>
        <v>Комитет по тарифам и ценам Курской области</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428</v>
      </c>
      <c r="T28" s="2250"/>
      <c r="U28" s="1372"/>
      <c r="V28" s="2264" t="str">
        <f>IF(TITLE_DATE_PR_CHANGE="",IF(TITLE_DATE_PR="","",TITLE_DATE_PR),TITLE_DATE_PR_CHANGE)</f>
        <v>46010</v>
      </c>
      <c r="W28" s="2264"/>
      <c r="X28" s="2264"/>
      <c r="Y28" s="2264"/>
      <c r="Z28" s="2264"/>
      <c r="AA28" s="2264"/>
      <c r="AB28" s="326"/>
      <c r="AC28" s="2264" t="str">
        <f>IF(TITLE_DATE_PR_CHANGE="",IF(TITLE_DATE_PR="","",TITLE_DATE_PR),TITLE_DATE_PR_CHANGE)</f>
        <v>46010</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429</v>
      </c>
      <c r="T29" s="2250"/>
      <c r="U29" s="1372"/>
      <c r="V29" s="2251" t="str">
        <f>IF(TITLE_NUMBER_PR_CHANGE="",IF(TITLE_NUMBER_PR="","",TITLE_NUMBER_PR),TITLE_NUMBER_PR_CHANGE)</f>
        <v>66</v>
      </c>
      <c r="W29" s="2251"/>
      <c r="X29" s="2251"/>
      <c r="Y29" s="2251"/>
      <c r="Z29" s="2251"/>
      <c r="AA29" s="2251"/>
      <c r="AB29" s="326"/>
      <c r="AC29" s="2251" t="str">
        <f>IF(TITLE_NUMBER_PR_CHANGE="",IF(TITLE_NUMBER_PR="","",TITLE_NUMBER_PR),TITLE_NUMBER_PR_CHANGE)</f>
        <v>66</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https://kurskpravo.ru/accepted-npa-prewev/2528</v>
      </c>
      <c r="W30" s="2251"/>
      <c r="X30" s="2251"/>
      <c r="Y30" s="2251"/>
      <c r="Z30" s="2251"/>
      <c r="AA30" s="2251"/>
      <c r="AB30" s="326"/>
      <c r="AC30" s="2251" t="str">
        <f>IF(TITLE_IST_PUB_CHANGE="",IF(TITLE_IST_PUB="","",TITLE_IST_PUB),TITLE_IST_PUB_CHANGE)</f>
        <v>https://kurskpravo.ru/accepted-npa-prewev/2528</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430</v>
      </c>
      <c r="T32" s="2250"/>
      <c r="U32" s="1372"/>
      <c r="V32" s="2264" t="str">
        <f>IF(TITLE_DATE_PR_CHANGE="",IF(TITLE_DATE_PR="","",TITLE_DATE_PR),TITLE_DATE_PR_CHANGE)</f>
        <v>46010</v>
      </c>
      <c r="W32" s="2264"/>
      <c r="X32" s="2264"/>
      <c r="Y32" s="2264"/>
      <c r="Z32" s="2264"/>
      <c r="AA32" s="2264"/>
      <c r="AB32" s="326"/>
      <c r="AC32" s="2264" t="str">
        <f>IF(TITLE_DATE_PR_CHANGE="",IF(TITLE_DATE_PR="","",TITLE_DATE_PR),TITLE_DATE_PR_CHANGE)</f>
        <v>46010</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431</v>
      </c>
      <c r="T33" s="2250"/>
      <c r="U33" s="1372"/>
      <c r="V33" s="2251" t="str">
        <f>IF(TITLE_NUMBER_PR_CHANGE="",IF(TITLE_NUMBER_PR="","",TITLE_NUMBER_PR),TITLE_NUMBER_PR_CHANGE)</f>
        <v>66</v>
      </c>
      <c r="W33" s="2251"/>
      <c r="X33" s="2251"/>
      <c r="Y33" s="2251"/>
      <c r="Z33" s="2251"/>
      <c r="AA33" s="2251"/>
      <c r="AB33" s="326"/>
      <c r="AC33" s="2251" t="str">
        <f>IF(TITLE_NUMBER_PR_CHANGE="",IF(TITLE_NUMBER_PR="","",TITLE_NUMBER_PR),TITLE_NUMBER_PR_CHANGE)</f>
        <v>66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432</v>
      </c>
      <c r="AC34" s="326"/>
      <c r="AD34" s="326"/>
      <c r="AE34" s="326"/>
      <c r="AF34" s="326"/>
      <c r="AG34" s="326"/>
      <c r="AH34" s="326"/>
      <c r="AI34" s="278" t="s">
        <v>432</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308</v>
      </c>
      <c r="T36" s="2127"/>
      <c r="U36" s="2127"/>
      <c r="V36" s="2127"/>
      <c r="W36" s="2127"/>
      <c r="X36" s="2127"/>
      <c r="Y36" s="2127"/>
      <c r="Z36" s="2127"/>
      <c r="AA36" s="2127"/>
      <c r="AB36" s="2127"/>
      <c r="AC36" s="2127"/>
      <c r="AD36" s="2127"/>
      <c r="AE36" s="2127"/>
      <c r="AF36" s="2127"/>
      <c r="AG36" s="2127"/>
      <c r="AH36" s="2127"/>
      <c r="AI36" s="2127"/>
      <c r="AJ36" s="2127"/>
      <c r="AK36" s="2127" t="s">
        <v>309</v>
      </c>
      <c r="AQ36" s="1155">
        <v>14</v>
      </c>
    </row>
    <row customHeight="1" ht="14.699999999999998">
      <c r="Q37" s="376"/>
      <c r="R37" s="376"/>
      <c r="S37" s="2273" t="s">
        <v>92</v>
      </c>
      <c r="T37" s="2209" t="s">
        <v>433</v>
      </c>
      <c r="U37" s="301"/>
      <c r="V37" s="2274" t="s">
        <v>434</v>
      </c>
      <c r="W37" s="2275"/>
      <c r="X37" s="2275"/>
      <c r="Y37" s="2275"/>
      <c r="Z37" s="2275"/>
      <c r="AA37" s="2276"/>
      <c r="AB37" s="2277" t="s">
        <v>435</v>
      </c>
      <c r="AC37" s="2274" t="s">
        <v>434</v>
      </c>
      <c r="AD37" s="2275"/>
      <c r="AE37" s="2275"/>
      <c r="AF37" s="2275"/>
      <c r="AG37" s="2275"/>
      <c r="AH37" s="2276"/>
      <c r="AI37" s="2277" t="s">
        <v>436</v>
      </c>
      <c r="AJ37" s="2280" t="s">
        <v>437</v>
      </c>
      <c r="AK37" s="2127"/>
      <c r="AQ37" s="1155">
        <v>14</v>
      </c>
    </row>
    <row customHeight="1" ht="35.699999999999996">
      <c r="Q38" s="376"/>
      <c r="R38" s="376"/>
      <c r="S38" s="2273"/>
      <c r="T38" s="2209"/>
      <c r="U38" s="1031"/>
      <c r="V38" s="1352" t="s">
        <v>497</v>
      </c>
      <c r="W38" s="2262" t="s">
        <v>440</v>
      </c>
      <c r="X38" s="2263"/>
      <c r="Y38" s="2262" t="s">
        <v>441</v>
      </c>
      <c r="Z38" s="2269"/>
      <c r="AA38" s="2263"/>
      <c r="AB38" s="2278"/>
      <c r="AC38" s="1352" t="s">
        <v>497</v>
      </c>
      <c r="AD38" s="2262" t="s">
        <v>440</v>
      </c>
      <c r="AE38" s="2263"/>
      <c r="AF38" s="2262" t="s">
        <v>441</v>
      </c>
      <c r="AG38" s="2269"/>
      <c r="AH38" s="2263"/>
      <c r="AI38" s="2278"/>
      <c r="AJ38" s="2281"/>
      <c r="AK38" s="2127"/>
      <c r="AQ38" s="1155">
        <v>34</v>
      </c>
    </row>
    <row customHeight="1" ht="35.699999999999996">
      <c r="A39" s="1370"/>
      <c r="B39" s="1370" t="s">
        <v>139</v>
      </c>
      <c r="C39" s="1370" t="s">
        <v>140</v>
      </c>
      <c r="D39" s="1370" t="s">
        <v>141</v>
      </c>
      <c r="E39" s="1364" t="s">
        <v>442</v>
      </c>
      <c r="F39" s="1364" t="s">
        <v>443</v>
      </c>
      <c r="G39" s="1364" t="s">
        <v>444</v>
      </c>
      <c r="H39" s="1364"/>
      <c r="I39" s="1364" t="s">
        <v>498</v>
      </c>
      <c r="J39" s="1364" t="s">
        <v>447</v>
      </c>
      <c r="K39" s="1364" t="s">
        <v>499</v>
      </c>
      <c r="L39" s="1364" t="s">
        <v>423</v>
      </c>
      <c r="Q39" s="376"/>
      <c r="R39" s="376"/>
      <c r="S39" s="2273"/>
      <c r="T39" s="2209"/>
      <c r="U39" s="302"/>
      <c r="V39" s="1352" t="s">
        <v>500</v>
      </c>
      <c r="W39" s="1222" t="s">
        <v>501</v>
      </c>
      <c r="X39" s="1222" t="s">
        <v>502</v>
      </c>
      <c r="Y39" s="1357" t="s">
        <v>451</v>
      </c>
      <c r="Z39" s="2270" t="s">
        <v>452</v>
      </c>
      <c r="AA39" s="2271"/>
      <c r="AB39" s="2279"/>
      <c r="AC39" s="1352" t="s">
        <v>500</v>
      </c>
      <c r="AD39" s="1222" t="s">
        <v>501</v>
      </c>
      <c r="AE39" s="1222" t="s">
        <v>502</v>
      </c>
      <c r="AF39" s="1357" t="s">
        <v>451</v>
      </c>
      <c r="AG39" s="2270" t="s">
        <v>452</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113</v>
      </c>
      <c r="T40" s="1255" t="s">
        <v>114</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234</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0</v>
      </c>
      <c r="T41" s="298" t="s">
        <v>127</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234</v>
      </c>
      <c r="B42" s="1363" t="s">
        <v>235</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v>
      </c>
      <c r="T42" s="308" t="s">
        <v>405</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406</v>
      </c>
      <c r="AM42" s="500"/>
      <c r="AN42" s="500" t="str">
        <f>IF(T42="","",T42)</f>
        <v>Территория действия тарифа</v>
      </c>
      <c r="AO42" s="500"/>
      <c r="AP42" s="500"/>
      <c r="AQ42" s="1155">
        <v>23</v>
      </c>
    </row>
    <row customHeight="1" ht="24">
      <c r="A43" s="1363" t="s">
        <v>234</v>
      </c>
      <c r="B43" s="1363" t="s">
        <v>235</v>
      </c>
      <c r="C43" s="1363" t="s">
        <v>236</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v>
      </c>
      <c r="T43" s="309" t="s">
        <v>489</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490</v>
      </c>
      <c r="AM43" s="500"/>
      <c r="AN43" s="500" t="str">
        <f>IF(T43="","",T43)</f>
        <v>Наименование централизованной системы холодного водоснабжения</v>
      </c>
      <c r="AO43" s="500"/>
      <c r="AP43" s="500"/>
      <c r="AQ43" s="1155">
        <v>23</v>
      </c>
    </row>
    <row customHeight="1" ht="24">
      <c r="A44" s="1363" t="s">
        <v>234</v>
      </c>
      <c r="B44" s="1363" t="s">
        <v>235</v>
      </c>
      <c r="C44" s="1363" t="s">
        <v>236</v>
      </c>
      <c r="D44" s="1363" t="s">
        <v>503</v>
      </c>
      <c r="E44" s="2259"/>
      <c r="F44" s="2259"/>
      <c r="G44" s="2259"/>
      <c r="H44" s="2259"/>
      <c r="I44" s="2256" t="str">
        <f>S43&amp;".1"</f>
        <v>...1</v>
      </c>
      <c r="J44" s="1363"/>
      <c r="K44" s="1363"/>
      <c r="L44" s="1364"/>
      <c r="P44" s="2257">
        <v>1</v>
      </c>
      <c r="Q44" s="1354"/>
      <c r="R44" s="356"/>
      <c r="S44" s="1358" t="str">
        <f>$I44</f>
        <v>...1</v>
      </c>
      <c r="T44" s="285" t="s">
        <v>491</v>
      </c>
      <c r="U44" s="300"/>
      <c r="V44" s="2350"/>
      <c r="W44" s="2351"/>
      <c r="X44" s="2351"/>
      <c r="Y44" s="2351"/>
      <c r="Z44" s="2351"/>
      <c r="AA44" s="2351"/>
      <c r="AB44" s="2352"/>
      <c r="AC44" s="2353"/>
      <c r="AD44" s="2354"/>
      <c r="AE44" s="2354"/>
      <c r="AF44" s="2354"/>
      <c r="AG44" s="2354"/>
      <c r="AH44" s="2354"/>
      <c r="AI44" s="2354"/>
      <c r="AJ44" s="2355"/>
      <c r="AK44" s="1258" t="s">
        <v>492</v>
      </c>
      <c r="AM44" s="500"/>
      <c r="AN44" s="500" t="str">
        <f>IF(T44="","",T44)</f>
        <v>Наименование признака дифференциации</v>
      </c>
      <c r="AO44" s="500"/>
      <c r="AP44" s="500"/>
      <c r="AQ44" s="1155">
        <v>23</v>
      </c>
    </row>
    <row customHeight="1" ht="24">
      <c r="A45" s="1363" t="s">
        <v>234</v>
      </c>
      <c r="B45" s="1363" t="s">
        <v>235</v>
      </c>
      <c r="C45" s="1363" t="s">
        <v>236</v>
      </c>
      <c r="D45" s="1363" t="s">
        <v>503</v>
      </c>
      <c r="E45" s="2259"/>
      <c r="F45" s="2259"/>
      <c r="G45" s="2259"/>
      <c r="H45" s="2259"/>
      <c r="I45" s="2286"/>
      <c r="J45" s="2256" t="str">
        <f>I44&amp;".1"</f>
        <v>...1.1</v>
      </c>
      <c r="K45" s="1363"/>
      <c r="L45" s="1364" t="s">
        <v>414</v>
      </c>
      <c r="P45" s="2257"/>
      <c r="Q45" s="2257">
        <v>1</v>
      </c>
      <c r="R45" s="357"/>
      <c r="S45" s="1358" t="str">
        <f>$J45</f>
        <v>...1.1</v>
      </c>
      <c r="T45" s="286" t="s">
        <v>415</v>
      </c>
      <c r="U45" s="300"/>
      <c r="V45" s="2245"/>
      <c r="W45" s="2246"/>
      <c r="X45" s="2246"/>
      <c r="Y45" s="2246"/>
      <c r="Z45" s="2246"/>
      <c r="AA45" s="2246"/>
      <c r="AB45" s="2247"/>
      <c r="AC45" s="2245"/>
      <c r="AD45" s="2246"/>
      <c r="AE45" s="2246"/>
      <c r="AF45" s="2246"/>
      <c r="AG45" s="2246"/>
      <c r="AH45" s="2246"/>
      <c r="AI45" s="2246"/>
      <c r="AJ45" s="2247"/>
      <c r="AK45" s="1307" t="s">
        <v>493</v>
      </c>
      <c r="AM45" s="500"/>
      <c r="AN45" s="500" t="str">
        <f>IF(T45="","",T45)</f>
        <v>Группа потребителей</v>
      </c>
      <c r="AO45" s="500"/>
      <c r="AP45" s="500"/>
      <c r="AQ45" s="1155">
        <v>23</v>
      </c>
    </row>
    <row customHeight="1" ht="24">
      <c r="A46" s="1363" t="s">
        <v>234</v>
      </c>
      <c r="B46" s="1363" t="s">
        <v>235</v>
      </c>
      <c r="C46" s="1363" t="s">
        <v>236</v>
      </c>
      <c r="D46" s="1363" t="s">
        <v>503</v>
      </c>
      <c r="E46" s="2259"/>
      <c r="F46" s="2259"/>
      <c r="G46" s="2259"/>
      <c r="H46" s="2259"/>
      <c r="I46" s="2286"/>
      <c r="J46" s="2286"/>
      <c r="K46" s="2256" t="str">
        <f>J45&amp;".1"</f>
        <v>...1.1.1</v>
      </c>
      <c r="L46" s="1364"/>
      <c r="P46" s="2257"/>
      <c r="Q46" s="2257"/>
      <c r="R46" s="357">
        <v>1</v>
      </c>
      <c r="S46" s="1358" t="str">
        <f>$K46</f>
        <v>...1.1.1</v>
      </c>
      <c r="T46" s="1437"/>
      <c r="U46" s="300"/>
      <c r="V46" s="1360"/>
      <c r="W46" s="1360"/>
      <c r="X46" s="1361"/>
      <c r="Y46" s="2267"/>
      <c r="Z46" s="2268" t="s">
        <v>70</v>
      </c>
      <c r="AA46" s="2267"/>
      <c r="AB46" s="2268" t="s">
        <v>70</v>
      </c>
      <c r="AC46" s="751"/>
      <c r="AD46" s="751"/>
      <c r="AE46" s="1257"/>
      <c r="AF46" s="2265"/>
      <c r="AG46" s="2107" t="s">
        <v>70</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234</v>
      </c>
      <c r="B47" s="1363" t="s">
        <v>235</v>
      </c>
      <c r="C47" s="1363" t="s">
        <v>236</v>
      </c>
      <c r="D47" s="1363" t="s">
        <v>503</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234</v>
      </c>
      <c r="B48" s="1363" t="s">
        <v>235</v>
      </c>
      <c r="C48" s="1363" t="s">
        <v>236</v>
      </c>
      <c r="D48" s="1363" t="s">
        <v>503</v>
      </c>
      <c r="E48" s="2259"/>
      <c r="F48" s="2259"/>
      <c r="G48" s="2259"/>
      <c r="H48" s="2259"/>
      <c r="I48" s="2286"/>
      <c r="J48" s="2256"/>
      <c r="K48" s="1363"/>
      <c r="L48" s="1364"/>
      <c r="P48" s="2257"/>
      <c r="Q48" s="2257"/>
      <c r="R48" s="356"/>
      <c r="S48" s="1278"/>
      <c r="T48" s="287" t="s">
        <v>494</v>
      </c>
      <c r="U48" s="367"/>
      <c r="V48" s="367"/>
      <c r="W48" s="367"/>
      <c r="X48" s="367"/>
      <c r="Y48" s="367"/>
      <c r="Z48" s="367"/>
      <c r="AA48" s="367"/>
      <c r="AB48" s="367"/>
      <c r="AC48" s="367"/>
      <c r="AD48" s="367"/>
      <c r="AE48" s="367"/>
      <c r="AF48" s="367"/>
      <c r="AG48" s="367"/>
      <c r="AH48" s="367"/>
      <c r="AI48" s="367"/>
      <c r="AJ48" s="367"/>
      <c r="AK48" s="1258" t="s">
        <v>495</v>
      </c>
      <c r="AM48" s="500"/>
      <c r="AN48" s="500" t="str">
        <f>IF(T48="","",T48)</f>
        <v>Добавить значение признака дифференциации</v>
      </c>
      <c r="AO48" s="500"/>
      <c r="AP48" s="500"/>
      <c r="AQ48" s="1155">
        <v>20</v>
      </c>
    </row>
    <row customHeight="1" ht="22.049999999999997">
      <c r="A49" s="1363" t="s">
        <v>234</v>
      </c>
      <c r="B49" s="1363" t="s">
        <v>235</v>
      </c>
      <c r="C49" s="1363" t="s">
        <v>236</v>
      </c>
      <c r="D49" s="1363" t="s">
        <v>503</v>
      </c>
      <c r="E49" s="2259"/>
      <c r="F49" s="2259"/>
      <c r="G49" s="2259"/>
      <c r="H49" s="2259"/>
      <c r="I49" s="2256"/>
      <c r="J49" s="1363"/>
      <c r="K49" s="1363"/>
      <c r="L49" s="1364"/>
      <c r="P49" s="2257"/>
      <c r="Q49" s="1354"/>
      <c r="R49" s="356"/>
      <c r="S49" s="1278"/>
      <c r="T49" s="365" t="s">
        <v>420</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234</v>
      </c>
      <c r="B50" s="1363" t="s">
        <v>235</v>
      </c>
      <c r="C50" s="1363" t="s">
        <v>236</v>
      </c>
      <c r="D50" s="1363" t="s">
        <v>503</v>
      </c>
      <c r="E50" s="2259"/>
      <c r="F50" s="2259"/>
      <c r="G50" s="2259"/>
      <c r="H50" s="2258"/>
      <c r="I50" s="1363"/>
      <c r="J50" s="1363"/>
      <c r="K50" s="1363"/>
      <c r="L50" s="1364"/>
      <c r="M50" s="1365"/>
      <c r="N50" s="1365"/>
      <c r="O50" s="537"/>
      <c r="P50" s="360"/>
      <c r="Q50" s="375"/>
      <c r="R50" s="355"/>
      <c r="S50" s="1278"/>
      <c r="T50" s="372" t="s">
        <v>496</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234</v>
      </c>
      <c r="B51" s="1343" t="s">
        <v>235</v>
      </c>
      <c r="C51" s="1314"/>
      <c r="D51" s="1314"/>
      <c r="E51" s="2259"/>
      <c r="F51" s="2258"/>
      <c r="G51" s="1314"/>
      <c r="H51" s="1314"/>
      <c r="I51" s="1314"/>
      <c r="J51" s="1314"/>
      <c r="K51" s="1314"/>
      <c r="L51" s="1426"/>
      <c r="M51" s="1321"/>
      <c r="N51" s="1321"/>
      <c r="P51" s="1316"/>
      <c r="Q51" s="1317"/>
      <c r="R51" s="1316"/>
      <c r="S51" s="1322"/>
      <c r="T51" s="1325" t="s">
        <v>173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234</v>
      </c>
      <c r="B52" s="1343"/>
      <c r="C52" s="1343"/>
      <c r="D52" s="1343"/>
      <c r="E52" s="2258"/>
      <c r="F52" s="1343"/>
      <c r="G52" s="1343"/>
      <c r="H52" s="1343"/>
      <c r="I52" s="1343"/>
      <c r="J52" s="1343"/>
      <c r="K52" s="1343"/>
      <c r="L52" s="1346"/>
      <c r="M52" s="1321"/>
      <c r="N52" s="1321"/>
      <c r="O52" s="518"/>
      <c r="P52" s="380"/>
      <c r="Q52" s="1344"/>
      <c r="R52" s="380"/>
      <c r="S52" s="1322"/>
      <c r="T52" s="1325" t="s">
        <v>174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175</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86</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926168-C568-C022-FFD1-2E5085BA7153}"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127</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405</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406</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489</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490</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491</v>
      </c>
      <c r="U5" s="300"/>
      <c r="V5" s="2350"/>
      <c r="W5" s="2351"/>
      <c r="X5" s="2351"/>
      <c r="Y5" s="2351"/>
      <c r="Z5" s="2351"/>
      <c r="AA5" s="2351"/>
      <c r="AB5" s="2352"/>
      <c r="AC5" s="2353"/>
      <c r="AD5" s="2354"/>
      <c r="AE5" s="2354"/>
      <c r="AF5" s="2354"/>
      <c r="AG5" s="2354"/>
      <c r="AH5" s="2354"/>
      <c r="AI5" s="2354"/>
      <c r="AJ5" s="2355"/>
      <c r="AK5" s="1258" t="s">
        <v>492</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414</v>
      </c>
      <c r="P6" s="2257"/>
      <c r="Q6" s="2257">
        <v>1</v>
      </c>
      <c r="R6" s="357"/>
      <c r="S6" s="1457">
        <f>$J6</f>
      </c>
      <c r="T6" s="286" t="s">
        <v>415</v>
      </c>
      <c r="U6" s="300"/>
      <c r="V6" s="2245"/>
      <c r="W6" s="2246"/>
      <c r="X6" s="2246"/>
      <c r="Y6" s="2246"/>
      <c r="Z6" s="2246"/>
      <c r="AA6" s="2246"/>
      <c r="AB6" s="2247"/>
      <c r="AC6" s="2245"/>
      <c r="AD6" s="2246"/>
      <c r="AE6" s="2246"/>
      <c r="AF6" s="2246"/>
      <c r="AG6" s="2246"/>
      <c r="AH6" s="2246"/>
      <c r="AI6" s="2246"/>
      <c r="AJ6" s="2247"/>
      <c r="AK6" s="1307" t="s">
        <v>493</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70</v>
      </c>
      <c r="AA7" s="2265"/>
      <c r="AB7" s="2107" t="s">
        <v>70</v>
      </c>
      <c r="AC7" s="751"/>
      <c r="AD7" s="751"/>
      <c r="AE7" s="1257"/>
      <c r="AF7" s="2265"/>
      <c r="AG7" s="2107" t="s">
        <v>70</v>
      </c>
      <c r="AH7" s="2287"/>
      <c r="AI7" s="2107" t="s">
        <v>70</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494</v>
      </c>
      <c r="U9" s="367"/>
      <c r="V9" s="367"/>
      <c r="W9" s="367"/>
      <c r="X9" s="367"/>
      <c r="Y9" s="367"/>
      <c r="Z9" s="367"/>
      <c r="AA9" s="367"/>
      <c r="AB9" s="367"/>
      <c r="AC9" s="367"/>
      <c r="AD9" s="367"/>
      <c r="AE9" s="367"/>
      <c r="AF9" s="367"/>
      <c r="AG9" s="367"/>
      <c r="AH9" s="367"/>
      <c r="AI9" s="367"/>
      <c r="AJ9" s="367"/>
      <c r="AK9" s="1258" t="s">
        <v>495</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420</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496</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173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174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70</v>
      </c>
      <c r="AH15" s="2267"/>
      <c r="AI15" s="2268" t="s">
        <v>70</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422</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423</v>
      </c>
      <c r="P20" s="1362"/>
      <c r="Q20" s="1442"/>
      <c r="R20" s="1442"/>
      <c r="S20" s="729"/>
      <c r="T20" s="1160" t="s">
        <v>424</v>
      </c>
      <c r="Z20" s="186" t="s">
        <v>425</v>
      </c>
      <c r="AB20" s="186" t="s">
        <v>426</v>
      </c>
      <c r="AC20" s="1160" t="s">
        <v>424</v>
      </c>
      <c r="AG20" s="186" t="s">
        <v>427</v>
      </c>
      <c r="AI20" s="186" t="s">
        <v>426</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ООО "Энерго-Сервис"</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тарифам и ценам Курской области</v>
      </c>
      <c r="W27" s="2251"/>
      <c r="X27" s="2251"/>
      <c r="Y27" s="2251"/>
      <c r="Z27" s="2251"/>
      <c r="AA27" s="2251"/>
      <c r="AB27" s="326"/>
      <c r="AC27" s="2251" t="str">
        <f>IF(TITLE_NAME_OR_PR_CHANGE="",IF(TITLE_NAME_OR_PR="","",TITLE_NAME_OR_PR),TITLE_NAME_OR_PR_CHANGE)</f>
        <v>Комитет по тарифам и ценам Курской области</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428</v>
      </c>
      <c r="T28" s="2250"/>
      <c r="U28" s="1372"/>
      <c r="V28" s="2264" t="str">
        <f>IF(TITLE_DATE_PR_CHANGE="",IF(TITLE_DATE_PR="","",TITLE_DATE_PR),TITLE_DATE_PR_CHANGE)</f>
        <v>46010</v>
      </c>
      <c r="W28" s="2264"/>
      <c r="X28" s="2264"/>
      <c r="Y28" s="2264"/>
      <c r="Z28" s="2264"/>
      <c r="AA28" s="2264"/>
      <c r="AB28" s="326"/>
      <c r="AC28" s="2264" t="str">
        <f>IF(TITLE_DATE_PR_CHANGE="",IF(TITLE_DATE_PR="","",TITLE_DATE_PR),TITLE_DATE_PR_CHANGE)</f>
        <v>46010</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429</v>
      </c>
      <c r="T29" s="2250"/>
      <c r="U29" s="1372"/>
      <c r="V29" s="2251" t="str">
        <f>IF(TITLE_NUMBER_PR_CHANGE="",IF(TITLE_NUMBER_PR="","",TITLE_NUMBER_PR),TITLE_NUMBER_PR_CHANGE)</f>
        <v>66</v>
      </c>
      <c r="W29" s="2251"/>
      <c r="X29" s="2251"/>
      <c r="Y29" s="2251"/>
      <c r="Z29" s="2251"/>
      <c r="AA29" s="2251"/>
      <c r="AB29" s="326"/>
      <c r="AC29" s="2251" t="str">
        <f>IF(TITLE_NUMBER_PR_CHANGE="",IF(TITLE_NUMBER_PR="","",TITLE_NUMBER_PR),TITLE_NUMBER_PR_CHANGE)</f>
        <v>66</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https://kurskpravo.ru/accepted-npa-prewev/2528</v>
      </c>
      <c r="W30" s="2251"/>
      <c r="X30" s="2251"/>
      <c r="Y30" s="2251"/>
      <c r="Z30" s="2251"/>
      <c r="AA30" s="2251"/>
      <c r="AB30" s="326"/>
      <c r="AC30" s="2251" t="str">
        <f>IF(TITLE_IST_PUB_CHANGE="",IF(TITLE_IST_PUB="","",TITLE_IST_PUB),TITLE_IST_PUB_CHANGE)</f>
        <v>https://kurskpravo.ru/accepted-npa-prewev/2528</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430</v>
      </c>
      <c r="T32" s="2250"/>
      <c r="U32" s="1372"/>
      <c r="V32" s="2264" t="str">
        <f>IF(TITLE_DATE_PR_CHANGE="",IF(TITLE_DATE_PR="","",TITLE_DATE_PR),TITLE_DATE_PR_CHANGE)</f>
        <v>46010</v>
      </c>
      <c r="W32" s="2264"/>
      <c r="X32" s="2264"/>
      <c r="Y32" s="2264"/>
      <c r="Z32" s="2264"/>
      <c r="AA32" s="2264"/>
      <c r="AB32" s="326"/>
      <c r="AC32" s="2264" t="str">
        <f>IF(TITLE_DATE_PR_CHANGE="",IF(TITLE_DATE_PR="","",TITLE_DATE_PR),TITLE_DATE_PR_CHANGE)</f>
        <v>46010</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431</v>
      </c>
      <c r="T33" s="2250"/>
      <c r="U33" s="1372"/>
      <c r="V33" s="2251" t="str">
        <f>IF(TITLE_NUMBER_PR_CHANGE="",IF(TITLE_NUMBER_PR="","",TITLE_NUMBER_PR),TITLE_NUMBER_PR_CHANGE)</f>
        <v>66</v>
      </c>
      <c r="W33" s="2251"/>
      <c r="X33" s="2251"/>
      <c r="Y33" s="2251"/>
      <c r="Z33" s="2251"/>
      <c r="AA33" s="2251"/>
      <c r="AB33" s="326"/>
      <c r="AC33" s="2251" t="str">
        <f>IF(TITLE_NUMBER_PR_CHANGE="",IF(TITLE_NUMBER_PR="","",TITLE_NUMBER_PR),TITLE_NUMBER_PR_CHANGE)</f>
        <v>66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432</v>
      </c>
      <c r="AC34" s="326"/>
      <c r="AD34" s="326"/>
      <c r="AE34" s="326"/>
      <c r="AF34" s="326"/>
      <c r="AG34" s="326"/>
      <c r="AH34" s="326"/>
      <c r="AI34" s="278" t="s">
        <v>432</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308</v>
      </c>
      <c r="T36" s="2127"/>
      <c r="U36" s="2127"/>
      <c r="V36" s="2127"/>
      <c r="W36" s="2127"/>
      <c r="X36" s="2127"/>
      <c r="Y36" s="2127"/>
      <c r="Z36" s="2127"/>
      <c r="AA36" s="2127"/>
      <c r="AB36" s="2127"/>
      <c r="AC36" s="2127"/>
      <c r="AD36" s="2127"/>
      <c r="AE36" s="2127"/>
      <c r="AF36" s="2127"/>
      <c r="AG36" s="2127"/>
      <c r="AH36" s="2127"/>
      <c r="AI36" s="2127"/>
      <c r="AJ36" s="2127"/>
      <c r="AK36" s="2127" t="s">
        <v>309</v>
      </c>
      <c r="AQ36" s="1155">
        <v>14</v>
      </c>
    </row>
    <row customHeight="1" ht="14.699999999999998">
      <c r="Q37" s="376"/>
      <c r="R37" s="376"/>
      <c r="S37" s="2273" t="s">
        <v>92</v>
      </c>
      <c r="T37" s="2209" t="s">
        <v>433</v>
      </c>
      <c r="U37" s="301"/>
      <c r="V37" s="2274" t="s">
        <v>434</v>
      </c>
      <c r="W37" s="2275"/>
      <c r="X37" s="2275"/>
      <c r="Y37" s="2275"/>
      <c r="Z37" s="2275"/>
      <c r="AA37" s="2276"/>
      <c r="AB37" s="2277" t="s">
        <v>435</v>
      </c>
      <c r="AC37" s="2274" t="s">
        <v>434</v>
      </c>
      <c r="AD37" s="2275"/>
      <c r="AE37" s="2275"/>
      <c r="AF37" s="2275"/>
      <c r="AG37" s="2275"/>
      <c r="AH37" s="2276"/>
      <c r="AI37" s="2277" t="s">
        <v>436</v>
      </c>
      <c r="AJ37" s="2280" t="s">
        <v>437</v>
      </c>
      <c r="AK37" s="2127"/>
      <c r="AQ37" s="1155">
        <v>14</v>
      </c>
    </row>
    <row customHeight="1" ht="35.699999999999996">
      <c r="Q38" s="376"/>
      <c r="R38" s="376"/>
      <c r="S38" s="2273"/>
      <c r="T38" s="2209"/>
      <c r="U38" s="1031"/>
      <c r="V38" s="1452" t="s">
        <v>497</v>
      </c>
      <c r="W38" s="2262" t="s">
        <v>440</v>
      </c>
      <c r="X38" s="2263"/>
      <c r="Y38" s="2262" t="s">
        <v>441</v>
      </c>
      <c r="Z38" s="2269"/>
      <c r="AA38" s="2263"/>
      <c r="AB38" s="2278"/>
      <c r="AC38" s="1452" t="s">
        <v>497</v>
      </c>
      <c r="AD38" s="2262" t="s">
        <v>440</v>
      </c>
      <c r="AE38" s="2263"/>
      <c r="AF38" s="2262" t="s">
        <v>441</v>
      </c>
      <c r="AG38" s="2269"/>
      <c r="AH38" s="2263"/>
      <c r="AI38" s="2278"/>
      <c r="AJ38" s="2281"/>
      <c r="AK38" s="2127"/>
      <c r="AQ38" s="1155">
        <v>34</v>
      </c>
    </row>
    <row customHeight="1" ht="35.699999999999996">
      <c r="A39" s="1370"/>
      <c r="B39" s="1370" t="s">
        <v>139</v>
      </c>
      <c r="C39" s="1370" t="s">
        <v>140</v>
      </c>
      <c r="D39" s="1370" t="s">
        <v>141</v>
      </c>
      <c r="E39" s="1364" t="s">
        <v>442</v>
      </c>
      <c r="F39" s="1364" t="s">
        <v>443</v>
      </c>
      <c r="G39" s="1364" t="s">
        <v>444</v>
      </c>
      <c r="H39" s="1364"/>
      <c r="I39" s="1364" t="s">
        <v>498</v>
      </c>
      <c r="J39" s="1364" t="s">
        <v>447</v>
      </c>
      <c r="K39" s="1364" t="s">
        <v>499</v>
      </c>
      <c r="L39" s="1364" t="s">
        <v>423</v>
      </c>
      <c r="Q39" s="376"/>
      <c r="R39" s="376"/>
      <c r="S39" s="2273"/>
      <c r="T39" s="2209"/>
      <c r="U39" s="302"/>
      <c r="V39" s="1452" t="s">
        <v>500</v>
      </c>
      <c r="W39" s="1222" t="s">
        <v>501</v>
      </c>
      <c r="X39" s="1222" t="s">
        <v>502</v>
      </c>
      <c r="Y39" s="1455" t="s">
        <v>451</v>
      </c>
      <c r="Z39" s="2270" t="s">
        <v>452</v>
      </c>
      <c r="AA39" s="2271"/>
      <c r="AB39" s="2279"/>
      <c r="AC39" s="1452" t="s">
        <v>500</v>
      </c>
      <c r="AD39" s="1222" t="s">
        <v>501</v>
      </c>
      <c r="AE39" s="1222" t="s">
        <v>502</v>
      </c>
      <c r="AF39" s="1455" t="s">
        <v>451</v>
      </c>
      <c r="AG39" s="2270" t="s">
        <v>452</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113</v>
      </c>
      <c r="T40" s="1255" t="s">
        <v>114</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239</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127</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239</v>
      </c>
      <c r="B42" s="1363" t="s">
        <v>240</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405</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406</v>
      </c>
      <c r="AM42" s="500"/>
      <c r="AN42" s="500" t="str">
        <f>IF(T42="","",T42)</f>
        <v>Территория действия тарифа</v>
      </c>
      <c r="AO42" s="500"/>
      <c r="AP42" s="500"/>
      <c r="AQ42" s="1155">
        <v>23</v>
      </c>
    </row>
    <row customHeight="1" ht="24">
      <c r="A43" s="1363" t="s">
        <v>239</v>
      </c>
      <c r="B43" s="1363" t="s">
        <v>240</v>
      </c>
      <c r="C43" s="1363" t="s">
        <v>241</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489</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490</v>
      </c>
      <c r="AM43" s="500"/>
      <c r="AN43" s="500" t="str">
        <f>IF(T43="","",T43)</f>
        <v>Наименование централизованной системы холодного водоснабжения</v>
      </c>
      <c r="AO43" s="500"/>
      <c r="AP43" s="500"/>
      <c r="AQ43" s="1155">
        <v>23</v>
      </c>
    </row>
    <row customHeight="1" ht="24">
      <c r="A44" s="1363" t="s">
        <v>239</v>
      </c>
      <c r="B44" s="1363" t="s">
        <v>240</v>
      </c>
      <c r="C44" s="1363" t="s">
        <v>241</v>
      </c>
      <c r="D44" s="1363" t="s">
        <v>504</v>
      </c>
      <c r="E44" s="2259"/>
      <c r="F44" s="2259"/>
      <c r="G44" s="2259"/>
      <c r="H44" s="2259"/>
      <c r="I44" s="2256" t="str">
        <f>S43&amp;".1"</f>
        <v>...1</v>
      </c>
      <c r="J44" s="1363"/>
      <c r="K44" s="1363"/>
      <c r="L44" s="1364"/>
      <c r="P44" s="2257">
        <v>1</v>
      </c>
      <c r="Q44" s="1450"/>
      <c r="R44" s="356"/>
      <c r="S44" s="1457" t="str">
        <f>$I44</f>
        <v>...1</v>
      </c>
      <c r="T44" s="285" t="s">
        <v>491</v>
      </c>
      <c r="U44" s="300"/>
      <c r="V44" s="2350"/>
      <c r="W44" s="2351"/>
      <c r="X44" s="2351"/>
      <c r="Y44" s="2351"/>
      <c r="Z44" s="2351"/>
      <c r="AA44" s="2351"/>
      <c r="AB44" s="2352"/>
      <c r="AC44" s="2353"/>
      <c r="AD44" s="2354"/>
      <c r="AE44" s="2354"/>
      <c r="AF44" s="2354"/>
      <c r="AG44" s="2354"/>
      <c r="AH44" s="2354"/>
      <c r="AI44" s="2354"/>
      <c r="AJ44" s="2355"/>
      <c r="AK44" s="1258" t="s">
        <v>492</v>
      </c>
      <c r="AM44" s="500"/>
      <c r="AN44" s="500" t="str">
        <f>IF(T44="","",T44)</f>
        <v>Наименование признака дифференциации</v>
      </c>
      <c r="AO44" s="500"/>
      <c r="AP44" s="500"/>
      <c r="AQ44" s="1155">
        <v>23</v>
      </c>
    </row>
    <row customHeight="1" ht="24">
      <c r="A45" s="1363" t="s">
        <v>239</v>
      </c>
      <c r="B45" s="1363" t="s">
        <v>240</v>
      </c>
      <c r="C45" s="1363" t="s">
        <v>241</v>
      </c>
      <c r="D45" s="1363" t="s">
        <v>504</v>
      </c>
      <c r="E45" s="2259"/>
      <c r="F45" s="2259"/>
      <c r="G45" s="2259"/>
      <c r="H45" s="2259"/>
      <c r="I45" s="2286"/>
      <c r="J45" s="2256" t="str">
        <f>I44&amp;".1"</f>
        <v>...1.1</v>
      </c>
      <c r="K45" s="1363"/>
      <c r="L45" s="1364" t="s">
        <v>414</v>
      </c>
      <c r="P45" s="2257"/>
      <c r="Q45" s="2257">
        <v>1</v>
      </c>
      <c r="R45" s="357"/>
      <c r="S45" s="1457" t="str">
        <f>$J45</f>
        <v>...1.1</v>
      </c>
      <c r="T45" s="286" t="s">
        <v>415</v>
      </c>
      <c r="U45" s="300"/>
      <c r="V45" s="2245"/>
      <c r="W45" s="2246"/>
      <c r="X45" s="2246"/>
      <c r="Y45" s="2246"/>
      <c r="Z45" s="2246"/>
      <c r="AA45" s="2246"/>
      <c r="AB45" s="2247"/>
      <c r="AC45" s="2245"/>
      <c r="AD45" s="2246"/>
      <c r="AE45" s="2246"/>
      <c r="AF45" s="2246"/>
      <c r="AG45" s="2246"/>
      <c r="AH45" s="2246"/>
      <c r="AI45" s="2246"/>
      <c r="AJ45" s="2247"/>
      <c r="AK45" s="1307" t="s">
        <v>493</v>
      </c>
      <c r="AM45" s="500"/>
      <c r="AN45" s="500" t="str">
        <f>IF(T45="","",T45)</f>
        <v>Группа потребителей</v>
      </c>
      <c r="AO45" s="500"/>
      <c r="AP45" s="500"/>
      <c r="AQ45" s="1155">
        <v>23</v>
      </c>
    </row>
    <row customHeight="1" ht="24">
      <c r="A46" s="1363" t="s">
        <v>239</v>
      </c>
      <c r="B46" s="1363" t="s">
        <v>240</v>
      </c>
      <c r="C46" s="1363" t="s">
        <v>241</v>
      </c>
      <c r="D46" s="1363" t="s">
        <v>504</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70</v>
      </c>
      <c r="AA46" s="2265"/>
      <c r="AB46" s="2107" t="s">
        <v>70</v>
      </c>
      <c r="AC46" s="751"/>
      <c r="AD46" s="751"/>
      <c r="AE46" s="1257"/>
      <c r="AF46" s="2265"/>
      <c r="AG46" s="2107" t="s">
        <v>70</v>
      </c>
      <c r="AH46" s="2287"/>
      <c r="AI46" s="2107" t="s">
        <v>70</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239</v>
      </c>
      <c r="B47" s="1363" t="s">
        <v>240</v>
      </c>
      <c r="C47" s="1363" t="s">
        <v>241</v>
      </c>
      <c r="D47" s="1363" t="s">
        <v>504</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239</v>
      </c>
      <c r="B48" s="1363" t="s">
        <v>240</v>
      </c>
      <c r="C48" s="1363" t="s">
        <v>241</v>
      </c>
      <c r="D48" s="1363" t="s">
        <v>504</v>
      </c>
      <c r="E48" s="2259"/>
      <c r="F48" s="2259"/>
      <c r="G48" s="2259"/>
      <c r="H48" s="2259"/>
      <c r="I48" s="2286"/>
      <c r="J48" s="2256"/>
      <c r="K48" s="1363"/>
      <c r="L48" s="1364"/>
      <c r="P48" s="2257"/>
      <c r="Q48" s="2257"/>
      <c r="R48" s="356"/>
      <c r="S48" s="1278"/>
      <c r="T48" s="287" t="s">
        <v>494</v>
      </c>
      <c r="U48" s="367"/>
      <c r="V48" s="367"/>
      <c r="W48" s="367"/>
      <c r="X48" s="367"/>
      <c r="Y48" s="367"/>
      <c r="Z48" s="367"/>
      <c r="AA48" s="367"/>
      <c r="AB48" s="367"/>
      <c r="AC48" s="367"/>
      <c r="AD48" s="367"/>
      <c r="AE48" s="367"/>
      <c r="AF48" s="367"/>
      <c r="AG48" s="367"/>
      <c r="AH48" s="367"/>
      <c r="AI48" s="367"/>
      <c r="AJ48" s="367"/>
      <c r="AK48" s="1258" t="s">
        <v>495</v>
      </c>
      <c r="AM48" s="500"/>
      <c r="AN48" s="500" t="str">
        <f>IF(T48="","",T48)</f>
        <v>Добавить значение признака дифференциации</v>
      </c>
      <c r="AO48" s="500"/>
      <c r="AP48" s="500"/>
      <c r="AQ48" s="1155">
        <v>20</v>
      </c>
    </row>
    <row customHeight="1" ht="22.049999999999997">
      <c r="A49" s="1363" t="s">
        <v>239</v>
      </c>
      <c r="B49" s="1363" t="s">
        <v>240</v>
      </c>
      <c r="C49" s="1363" t="s">
        <v>241</v>
      </c>
      <c r="D49" s="1363" t="s">
        <v>504</v>
      </c>
      <c r="E49" s="2259"/>
      <c r="F49" s="2259"/>
      <c r="G49" s="2259"/>
      <c r="H49" s="2259"/>
      <c r="I49" s="2256"/>
      <c r="J49" s="1363"/>
      <c r="K49" s="1363"/>
      <c r="L49" s="1364"/>
      <c r="P49" s="2257"/>
      <c r="Q49" s="1450"/>
      <c r="R49" s="356"/>
      <c r="S49" s="1278"/>
      <c r="T49" s="365" t="s">
        <v>420</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239</v>
      </c>
      <c r="B50" s="1363" t="s">
        <v>240</v>
      </c>
      <c r="C50" s="1363" t="s">
        <v>241</v>
      </c>
      <c r="D50" s="1363" t="s">
        <v>504</v>
      </c>
      <c r="E50" s="2259"/>
      <c r="F50" s="2259"/>
      <c r="G50" s="2259"/>
      <c r="H50" s="2258"/>
      <c r="I50" s="1363"/>
      <c r="J50" s="1363"/>
      <c r="K50" s="1363"/>
      <c r="L50" s="1364"/>
      <c r="M50" s="1365"/>
      <c r="N50" s="1365"/>
      <c r="O50" s="537"/>
      <c r="P50" s="360"/>
      <c r="Q50" s="375"/>
      <c r="R50" s="355"/>
      <c r="S50" s="1278"/>
      <c r="T50" s="372" t="s">
        <v>496</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239</v>
      </c>
      <c r="B51" s="1343" t="s">
        <v>240</v>
      </c>
      <c r="C51" s="1314"/>
      <c r="D51" s="1314"/>
      <c r="E51" s="2259"/>
      <c r="F51" s="2258"/>
      <c r="G51" s="1314"/>
      <c r="H51" s="1314"/>
      <c r="I51" s="1314"/>
      <c r="J51" s="1314"/>
      <c r="K51" s="1314"/>
      <c r="L51" s="1458"/>
      <c r="M51" s="1321"/>
      <c r="N51" s="1321"/>
      <c r="P51" s="1316"/>
      <c r="Q51" s="1317"/>
      <c r="R51" s="1316"/>
      <c r="S51" s="1322"/>
      <c r="T51" s="1325" t="s">
        <v>173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239</v>
      </c>
      <c r="B52" s="1343"/>
      <c r="C52" s="1343"/>
      <c r="D52" s="1343"/>
      <c r="E52" s="2258"/>
      <c r="F52" s="1343"/>
      <c r="G52" s="1343"/>
      <c r="H52" s="1343"/>
      <c r="I52" s="1343"/>
      <c r="J52" s="1343"/>
      <c r="K52" s="1343"/>
      <c r="L52" s="1346"/>
      <c r="M52" s="1321"/>
      <c r="N52" s="1321"/>
      <c r="O52" s="518"/>
      <c r="P52" s="380"/>
      <c r="Q52" s="1344"/>
      <c r="R52" s="380"/>
      <c r="S52" s="1322"/>
      <c r="T52" s="1325" t="s">
        <v>174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175</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86</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BF84A8-2CE8-3A39-D2BF-DA0C4A93B26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127</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405</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406</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489</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490</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491</v>
      </c>
      <c r="U5" s="300"/>
      <c r="V5" s="2350"/>
      <c r="W5" s="2351"/>
      <c r="X5" s="2351"/>
      <c r="Y5" s="2351"/>
      <c r="Z5" s="2351"/>
      <c r="AA5" s="2351"/>
      <c r="AB5" s="2352"/>
      <c r="AC5" s="2353"/>
      <c r="AD5" s="2354"/>
      <c r="AE5" s="2354"/>
      <c r="AF5" s="2354"/>
      <c r="AG5" s="2354"/>
      <c r="AH5" s="2354"/>
      <c r="AI5" s="2354"/>
      <c r="AJ5" s="2355"/>
      <c r="AK5" s="1258" t="s">
        <v>492</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414</v>
      </c>
      <c r="P6" s="2257"/>
      <c r="Q6" s="2257">
        <v>1</v>
      </c>
      <c r="R6" s="357"/>
      <c r="S6" s="1457">
        <f>$J6</f>
      </c>
      <c r="T6" s="286" t="s">
        <v>415</v>
      </c>
      <c r="U6" s="300"/>
      <c r="V6" s="2245"/>
      <c r="W6" s="2246"/>
      <c r="X6" s="2246"/>
      <c r="Y6" s="2246"/>
      <c r="Z6" s="2246"/>
      <c r="AA6" s="2246"/>
      <c r="AB6" s="2247"/>
      <c r="AC6" s="2245"/>
      <c r="AD6" s="2246"/>
      <c r="AE6" s="2246"/>
      <c r="AF6" s="2246"/>
      <c r="AG6" s="2246"/>
      <c r="AH6" s="2246"/>
      <c r="AI6" s="2246"/>
      <c r="AJ6" s="2247"/>
      <c r="AK6" s="1307" t="s">
        <v>493</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70</v>
      </c>
      <c r="AA7" s="2265"/>
      <c r="AB7" s="2107" t="s">
        <v>70</v>
      </c>
      <c r="AC7" s="751"/>
      <c r="AD7" s="751"/>
      <c r="AE7" s="1257"/>
      <c r="AF7" s="2265"/>
      <c r="AG7" s="2107" t="s">
        <v>70</v>
      </c>
      <c r="AH7" s="2287"/>
      <c r="AI7" s="2107" t="s">
        <v>70</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494</v>
      </c>
      <c r="U9" s="367"/>
      <c r="V9" s="367"/>
      <c r="W9" s="367"/>
      <c r="X9" s="367"/>
      <c r="Y9" s="367"/>
      <c r="Z9" s="367"/>
      <c r="AA9" s="367"/>
      <c r="AB9" s="367"/>
      <c r="AC9" s="367"/>
      <c r="AD9" s="367"/>
      <c r="AE9" s="367"/>
      <c r="AF9" s="367"/>
      <c r="AG9" s="367"/>
      <c r="AH9" s="367"/>
      <c r="AI9" s="367"/>
      <c r="AJ9" s="367"/>
      <c r="AK9" s="1258" t="s">
        <v>495</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420</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496</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173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174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70</v>
      </c>
      <c r="AH15" s="2267"/>
      <c r="AI15" s="2268" t="s">
        <v>70</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422</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423</v>
      </c>
      <c r="P20" s="1362"/>
      <c r="Q20" s="1442"/>
      <c r="R20" s="1442"/>
      <c r="S20" s="729"/>
      <c r="T20" s="1160" t="s">
        <v>424</v>
      </c>
      <c r="Z20" s="186" t="s">
        <v>425</v>
      </c>
      <c r="AB20" s="186" t="s">
        <v>426</v>
      </c>
      <c r="AC20" s="1160" t="s">
        <v>424</v>
      </c>
      <c r="AG20" s="186" t="s">
        <v>427</v>
      </c>
      <c r="AI20" s="186" t="s">
        <v>426</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ООО "Энерго-Сервис"</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тарифам и ценам Курской области</v>
      </c>
      <c r="W27" s="2251"/>
      <c r="X27" s="2251"/>
      <c r="Y27" s="2251"/>
      <c r="Z27" s="2251"/>
      <c r="AA27" s="2251"/>
      <c r="AB27" s="326"/>
      <c r="AC27" s="2251" t="str">
        <f>IF(TITLE_NAME_OR_PR_CHANGE="",IF(TITLE_NAME_OR_PR="","",TITLE_NAME_OR_PR),TITLE_NAME_OR_PR_CHANGE)</f>
        <v>Комитет по тарифам и ценам Курской области</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428</v>
      </c>
      <c r="T28" s="2250"/>
      <c r="U28" s="1372"/>
      <c r="V28" s="2264" t="str">
        <f>IF(TITLE_DATE_PR_CHANGE="",IF(TITLE_DATE_PR="","",TITLE_DATE_PR),TITLE_DATE_PR_CHANGE)</f>
        <v>46010</v>
      </c>
      <c r="W28" s="2264"/>
      <c r="X28" s="2264"/>
      <c r="Y28" s="2264"/>
      <c r="Z28" s="2264"/>
      <c r="AA28" s="2264"/>
      <c r="AB28" s="326"/>
      <c r="AC28" s="2264" t="str">
        <f>IF(TITLE_DATE_PR_CHANGE="",IF(TITLE_DATE_PR="","",TITLE_DATE_PR),TITLE_DATE_PR_CHANGE)</f>
        <v>46010</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429</v>
      </c>
      <c r="T29" s="2250"/>
      <c r="U29" s="1372"/>
      <c r="V29" s="2251" t="str">
        <f>IF(TITLE_NUMBER_PR_CHANGE="",IF(TITLE_NUMBER_PR="","",TITLE_NUMBER_PR),TITLE_NUMBER_PR_CHANGE)</f>
        <v>66</v>
      </c>
      <c r="W29" s="2251"/>
      <c r="X29" s="2251"/>
      <c r="Y29" s="2251"/>
      <c r="Z29" s="2251"/>
      <c r="AA29" s="2251"/>
      <c r="AB29" s="326"/>
      <c r="AC29" s="2251" t="str">
        <f>IF(TITLE_NUMBER_PR_CHANGE="",IF(TITLE_NUMBER_PR="","",TITLE_NUMBER_PR),TITLE_NUMBER_PR_CHANGE)</f>
        <v>66</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https://kurskpravo.ru/accepted-npa-prewev/2528</v>
      </c>
      <c r="W30" s="2251"/>
      <c r="X30" s="2251"/>
      <c r="Y30" s="2251"/>
      <c r="Z30" s="2251"/>
      <c r="AA30" s="2251"/>
      <c r="AB30" s="326"/>
      <c r="AC30" s="2251" t="str">
        <f>IF(TITLE_IST_PUB_CHANGE="",IF(TITLE_IST_PUB="","",TITLE_IST_PUB),TITLE_IST_PUB_CHANGE)</f>
        <v>https://kurskpravo.ru/accepted-npa-prewev/2528</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430</v>
      </c>
      <c r="T32" s="2250"/>
      <c r="U32" s="1372"/>
      <c r="V32" s="2264" t="str">
        <f>IF(TITLE_DATE_PR_CHANGE="",IF(TITLE_DATE_PR="","",TITLE_DATE_PR),TITLE_DATE_PR_CHANGE)</f>
        <v>46010</v>
      </c>
      <c r="W32" s="2264"/>
      <c r="X32" s="2264"/>
      <c r="Y32" s="2264"/>
      <c r="Z32" s="2264"/>
      <c r="AA32" s="2264"/>
      <c r="AB32" s="326"/>
      <c r="AC32" s="2264" t="str">
        <f>IF(TITLE_DATE_PR_CHANGE="",IF(TITLE_DATE_PR="","",TITLE_DATE_PR),TITLE_DATE_PR_CHANGE)</f>
        <v>46010</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431</v>
      </c>
      <c r="T33" s="2250"/>
      <c r="U33" s="1372"/>
      <c r="V33" s="2251" t="str">
        <f>IF(TITLE_NUMBER_PR_CHANGE="",IF(TITLE_NUMBER_PR="","",TITLE_NUMBER_PR),TITLE_NUMBER_PR_CHANGE)</f>
        <v>66</v>
      </c>
      <c r="W33" s="2251"/>
      <c r="X33" s="2251"/>
      <c r="Y33" s="2251"/>
      <c r="Z33" s="2251"/>
      <c r="AA33" s="2251"/>
      <c r="AB33" s="326"/>
      <c r="AC33" s="2251" t="str">
        <f>IF(TITLE_NUMBER_PR_CHANGE="",IF(TITLE_NUMBER_PR="","",TITLE_NUMBER_PR),TITLE_NUMBER_PR_CHANGE)</f>
        <v>66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432</v>
      </c>
      <c r="AC34" s="326"/>
      <c r="AD34" s="326"/>
      <c r="AE34" s="326"/>
      <c r="AF34" s="326"/>
      <c r="AG34" s="326"/>
      <c r="AH34" s="326"/>
      <c r="AI34" s="278" t="s">
        <v>432</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308</v>
      </c>
      <c r="T36" s="2127"/>
      <c r="U36" s="2127"/>
      <c r="V36" s="2127"/>
      <c r="W36" s="2127"/>
      <c r="X36" s="2127"/>
      <c r="Y36" s="2127"/>
      <c r="Z36" s="2127"/>
      <c r="AA36" s="2127"/>
      <c r="AB36" s="2127"/>
      <c r="AC36" s="2127"/>
      <c r="AD36" s="2127"/>
      <c r="AE36" s="2127"/>
      <c r="AF36" s="2127"/>
      <c r="AG36" s="2127"/>
      <c r="AH36" s="2127"/>
      <c r="AI36" s="2127"/>
      <c r="AJ36" s="2127"/>
      <c r="AK36" s="2127" t="s">
        <v>309</v>
      </c>
      <c r="AQ36" s="1155">
        <v>14</v>
      </c>
    </row>
    <row customHeight="1" ht="14.699999999999998">
      <c r="Q37" s="376"/>
      <c r="R37" s="376"/>
      <c r="S37" s="2273" t="s">
        <v>92</v>
      </c>
      <c r="T37" s="2209" t="s">
        <v>433</v>
      </c>
      <c r="U37" s="301"/>
      <c r="V37" s="2274" t="s">
        <v>434</v>
      </c>
      <c r="W37" s="2275"/>
      <c r="X37" s="2275"/>
      <c r="Y37" s="2275"/>
      <c r="Z37" s="2275"/>
      <c r="AA37" s="2276"/>
      <c r="AB37" s="2277" t="s">
        <v>435</v>
      </c>
      <c r="AC37" s="2274" t="s">
        <v>434</v>
      </c>
      <c r="AD37" s="2275"/>
      <c r="AE37" s="2275"/>
      <c r="AF37" s="2275"/>
      <c r="AG37" s="2275"/>
      <c r="AH37" s="2276"/>
      <c r="AI37" s="2277" t="s">
        <v>436</v>
      </c>
      <c r="AJ37" s="2280" t="s">
        <v>437</v>
      </c>
      <c r="AK37" s="2127"/>
      <c r="AQ37" s="1155">
        <v>14</v>
      </c>
    </row>
    <row customHeight="1" ht="35.699999999999996">
      <c r="Q38" s="376"/>
      <c r="R38" s="376"/>
      <c r="S38" s="2273"/>
      <c r="T38" s="2209"/>
      <c r="U38" s="1031"/>
      <c r="V38" s="1452" t="s">
        <v>497</v>
      </c>
      <c r="W38" s="2262" t="s">
        <v>440</v>
      </c>
      <c r="X38" s="2263"/>
      <c r="Y38" s="2262" t="s">
        <v>441</v>
      </c>
      <c r="Z38" s="2269"/>
      <c r="AA38" s="2263"/>
      <c r="AB38" s="2278"/>
      <c r="AC38" s="1452" t="s">
        <v>497</v>
      </c>
      <c r="AD38" s="2262" t="s">
        <v>440</v>
      </c>
      <c r="AE38" s="2263"/>
      <c r="AF38" s="2262" t="s">
        <v>441</v>
      </c>
      <c r="AG38" s="2269"/>
      <c r="AH38" s="2263"/>
      <c r="AI38" s="2278"/>
      <c r="AJ38" s="2281"/>
      <c r="AK38" s="2127"/>
      <c r="AQ38" s="1155">
        <v>34</v>
      </c>
    </row>
    <row customHeight="1" ht="35.699999999999996">
      <c r="A39" s="1370"/>
      <c r="B39" s="1370" t="s">
        <v>139</v>
      </c>
      <c r="C39" s="1370" t="s">
        <v>140</v>
      </c>
      <c r="D39" s="1370" t="s">
        <v>141</v>
      </c>
      <c r="E39" s="1364" t="s">
        <v>442</v>
      </c>
      <c r="F39" s="1364" t="s">
        <v>443</v>
      </c>
      <c r="G39" s="1364" t="s">
        <v>444</v>
      </c>
      <c r="H39" s="1364"/>
      <c r="I39" s="1364" t="s">
        <v>498</v>
      </c>
      <c r="J39" s="1364" t="s">
        <v>447</v>
      </c>
      <c r="K39" s="1364" t="s">
        <v>499</v>
      </c>
      <c r="L39" s="1364" t="s">
        <v>423</v>
      </c>
      <c r="Q39" s="376"/>
      <c r="R39" s="376"/>
      <c r="S39" s="2273"/>
      <c r="T39" s="2209"/>
      <c r="U39" s="302"/>
      <c r="V39" s="1452" t="s">
        <v>500</v>
      </c>
      <c r="W39" s="1222" t="s">
        <v>501</v>
      </c>
      <c r="X39" s="1222" t="s">
        <v>502</v>
      </c>
      <c r="Y39" s="1455" t="s">
        <v>451</v>
      </c>
      <c r="Z39" s="2270" t="s">
        <v>452</v>
      </c>
      <c r="AA39" s="2271"/>
      <c r="AB39" s="2279"/>
      <c r="AC39" s="1452" t="s">
        <v>500</v>
      </c>
      <c r="AD39" s="1222" t="s">
        <v>501</v>
      </c>
      <c r="AE39" s="1222" t="s">
        <v>502</v>
      </c>
      <c r="AF39" s="1455" t="s">
        <v>451</v>
      </c>
      <c r="AG39" s="2270" t="s">
        <v>452</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113</v>
      </c>
      <c r="T40" s="1255" t="s">
        <v>114</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244</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127</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244</v>
      </c>
      <c r="B42" s="1363" t="s">
        <v>245</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405</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406</v>
      </c>
      <c r="AM42" s="500"/>
      <c r="AN42" s="500" t="str">
        <f>IF(T42="","",T42)</f>
        <v>Территория действия тарифа</v>
      </c>
      <c r="AO42" s="500"/>
      <c r="AP42" s="500"/>
      <c r="AQ42" s="1155">
        <v>23</v>
      </c>
    </row>
    <row customHeight="1" ht="24">
      <c r="A43" s="1363" t="s">
        <v>244</v>
      </c>
      <c r="B43" s="1363" t="s">
        <v>245</v>
      </c>
      <c r="C43" s="1363" t="s">
        <v>246</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489</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490</v>
      </c>
      <c r="AM43" s="500"/>
      <c r="AN43" s="500" t="str">
        <f>IF(T43="","",T43)</f>
        <v>Наименование централизованной системы холодного водоснабжения</v>
      </c>
      <c r="AO43" s="500"/>
      <c r="AP43" s="500"/>
      <c r="AQ43" s="1155">
        <v>23</v>
      </c>
    </row>
    <row customHeight="1" ht="24">
      <c r="A44" s="1363" t="s">
        <v>244</v>
      </c>
      <c r="B44" s="1363" t="s">
        <v>245</v>
      </c>
      <c r="C44" s="1363" t="s">
        <v>246</v>
      </c>
      <c r="D44" s="1363" t="s">
        <v>505</v>
      </c>
      <c r="E44" s="2259"/>
      <c r="F44" s="2259"/>
      <c r="G44" s="2259"/>
      <c r="H44" s="2259"/>
      <c r="I44" s="2256" t="str">
        <f>S43&amp;".1"</f>
        <v>...1</v>
      </c>
      <c r="J44" s="1363"/>
      <c r="K44" s="1363"/>
      <c r="L44" s="1364"/>
      <c r="P44" s="2257">
        <v>1</v>
      </c>
      <c r="Q44" s="1450"/>
      <c r="R44" s="356"/>
      <c r="S44" s="1457" t="str">
        <f>$I44</f>
        <v>...1</v>
      </c>
      <c r="T44" s="285" t="s">
        <v>491</v>
      </c>
      <c r="U44" s="300"/>
      <c r="V44" s="2350"/>
      <c r="W44" s="2351"/>
      <c r="X44" s="2351"/>
      <c r="Y44" s="2351"/>
      <c r="Z44" s="2351"/>
      <c r="AA44" s="2351"/>
      <c r="AB44" s="2352"/>
      <c r="AC44" s="2353"/>
      <c r="AD44" s="2354"/>
      <c r="AE44" s="2354"/>
      <c r="AF44" s="2354"/>
      <c r="AG44" s="2354"/>
      <c r="AH44" s="2354"/>
      <c r="AI44" s="2354"/>
      <c r="AJ44" s="2355"/>
      <c r="AK44" s="1258" t="s">
        <v>492</v>
      </c>
      <c r="AM44" s="500"/>
      <c r="AN44" s="500" t="str">
        <f>IF(T44="","",T44)</f>
        <v>Наименование признака дифференциации</v>
      </c>
      <c r="AO44" s="500"/>
      <c r="AP44" s="500"/>
      <c r="AQ44" s="1155">
        <v>23</v>
      </c>
    </row>
    <row customHeight="1" ht="24">
      <c r="A45" s="1363" t="s">
        <v>244</v>
      </c>
      <c r="B45" s="1363" t="s">
        <v>245</v>
      </c>
      <c r="C45" s="1363" t="s">
        <v>246</v>
      </c>
      <c r="D45" s="1363" t="s">
        <v>505</v>
      </c>
      <c r="E45" s="2259"/>
      <c r="F45" s="2259"/>
      <c r="G45" s="2259"/>
      <c r="H45" s="2259"/>
      <c r="I45" s="2286"/>
      <c r="J45" s="2256" t="str">
        <f>I44&amp;".1"</f>
        <v>...1.1</v>
      </c>
      <c r="K45" s="1363"/>
      <c r="L45" s="1364" t="s">
        <v>414</v>
      </c>
      <c r="P45" s="2257"/>
      <c r="Q45" s="2257">
        <v>1</v>
      </c>
      <c r="R45" s="357"/>
      <c r="S45" s="1457" t="str">
        <f>$J45</f>
        <v>...1.1</v>
      </c>
      <c r="T45" s="286" t="s">
        <v>415</v>
      </c>
      <c r="U45" s="300"/>
      <c r="V45" s="2245"/>
      <c r="W45" s="2246"/>
      <c r="X45" s="2246"/>
      <c r="Y45" s="2246"/>
      <c r="Z45" s="2246"/>
      <c r="AA45" s="2246"/>
      <c r="AB45" s="2247"/>
      <c r="AC45" s="2245"/>
      <c r="AD45" s="2246"/>
      <c r="AE45" s="2246"/>
      <c r="AF45" s="2246"/>
      <c r="AG45" s="2246"/>
      <c r="AH45" s="2246"/>
      <c r="AI45" s="2246"/>
      <c r="AJ45" s="2247"/>
      <c r="AK45" s="1307" t="s">
        <v>493</v>
      </c>
      <c r="AM45" s="500"/>
      <c r="AN45" s="500" t="str">
        <f>IF(T45="","",T45)</f>
        <v>Группа потребителей</v>
      </c>
      <c r="AO45" s="500"/>
      <c r="AP45" s="500"/>
      <c r="AQ45" s="1155">
        <v>23</v>
      </c>
    </row>
    <row customHeight="1" ht="24">
      <c r="A46" s="1363" t="s">
        <v>244</v>
      </c>
      <c r="B46" s="1363" t="s">
        <v>245</v>
      </c>
      <c r="C46" s="1363" t="s">
        <v>246</v>
      </c>
      <c r="D46" s="1363" t="s">
        <v>505</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70</v>
      </c>
      <c r="AA46" s="2265"/>
      <c r="AB46" s="2107" t="s">
        <v>70</v>
      </c>
      <c r="AC46" s="751"/>
      <c r="AD46" s="751"/>
      <c r="AE46" s="1257"/>
      <c r="AF46" s="2265"/>
      <c r="AG46" s="2107" t="s">
        <v>70</v>
      </c>
      <c r="AH46" s="2287"/>
      <c r="AI46" s="2107" t="s">
        <v>70</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244</v>
      </c>
      <c r="B47" s="1363" t="s">
        <v>245</v>
      </c>
      <c r="C47" s="1363" t="s">
        <v>246</v>
      </c>
      <c r="D47" s="1363" t="s">
        <v>505</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244</v>
      </c>
      <c r="B48" s="1363" t="s">
        <v>245</v>
      </c>
      <c r="C48" s="1363" t="s">
        <v>246</v>
      </c>
      <c r="D48" s="1363" t="s">
        <v>505</v>
      </c>
      <c r="E48" s="2259"/>
      <c r="F48" s="2259"/>
      <c r="G48" s="2259"/>
      <c r="H48" s="2259"/>
      <c r="I48" s="2286"/>
      <c r="J48" s="2256"/>
      <c r="K48" s="1363"/>
      <c r="L48" s="1364"/>
      <c r="P48" s="2257"/>
      <c r="Q48" s="2257"/>
      <c r="R48" s="356"/>
      <c r="S48" s="1278"/>
      <c r="T48" s="287" t="s">
        <v>494</v>
      </c>
      <c r="U48" s="367"/>
      <c r="V48" s="367"/>
      <c r="W48" s="367"/>
      <c r="X48" s="367"/>
      <c r="Y48" s="367"/>
      <c r="Z48" s="367"/>
      <c r="AA48" s="367"/>
      <c r="AB48" s="367"/>
      <c r="AC48" s="367"/>
      <c r="AD48" s="367"/>
      <c r="AE48" s="367"/>
      <c r="AF48" s="367"/>
      <c r="AG48" s="367"/>
      <c r="AH48" s="367"/>
      <c r="AI48" s="367"/>
      <c r="AJ48" s="367"/>
      <c r="AK48" s="1258" t="s">
        <v>495</v>
      </c>
      <c r="AM48" s="500"/>
      <c r="AN48" s="500" t="str">
        <f>IF(T48="","",T48)</f>
        <v>Добавить значение признака дифференциации</v>
      </c>
      <c r="AO48" s="500"/>
      <c r="AP48" s="500"/>
      <c r="AQ48" s="1155">
        <v>20</v>
      </c>
    </row>
    <row customHeight="1" ht="22.049999999999997">
      <c r="A49" s="1363" t="s">
        <v>244</v>
      </c>
      <c r="B49" s="1363" t="s">
        <v>245</v>
      </c>
      <c r="C49" s="1363" t="s">
        <v>246</v>
      </c>
      <c r="D49" s="1363" t="s">
        <v>505</v>
      </c>
      <c r="E49" s="2259"/>
      <c r="F49" s="2259"/>
      <c r="G49" s="2259"/>
      <c r="H49" s="2259"/>
      <c r="I49" s="2256"/>
      <c r="J49" s="1363"/>
      <c r="K49" s="1363"/>
      <c r="L49" s="1364"/>
      <c r="P49" s="2257"/>
      <c r="Q49" s="1450"/>
      <c r="R49" s="356"/>
      <c r="S49" s="1278"/>
      <c r="T49" s="365" t="s">
        <v>420</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244</v>
      </c>
      <c r="B50" s="1363" t="s">
        <v>245</v>
      </c>
      <c r="C50" s="1363" t="s">
        <v>246</v>
      </c>
      <c r="D50" s="1363" t="s">
        <v>505</v>
      </c>
      <c r="E50" s="2259"/>
      <c r="F50" s="2259"/>
      <c r="G50" s="2259"/>
      <c r="H50" s="2258"/>
      <c r="I50" s="1363"/>
      <c r="J50" s="1363"/>
      <c r="K50" s="1363"/>
      <c r="L50" s="1364"/>
      <c r="M50" s="1365"/>
      <c r="N50" s="1365"/>
      <c r="O50" s="537"/>
      <c r="P50" s="360"/>
      <c r="Q50" s="375"/>
      <c r="R50" s="355"/>
      <c r="S50" s="1278"/>
      <c r="T50" s="372" t="s">
        <v>496</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244</v>
      </c>
      <c r="B51" s="1343" t="s">
        <v>245</v>
      </c>
      <c r="C51" s="1314"/>
      <c r="D51" s="1314"/>
      <c r="E51" s="2259"/>
      <c r="F51" s="2258"/>
      <c r="G51" s="1314"/>
      <c r="H51" s="1314"/>
      <c r="I51" s="1314"/>
      <c r="J51" s="1314"/>
      <c r="K51" s="1314"/>
      <c r="L51" s="1458"/>
      <c r="M51" s="1321"/>
      <c r="N51" s="1321"/>
      <c r="P51" s="1316"/>
      <c r="Q51" s="1317"/>
      <c r="R51" s="1316"/>
      <c r="S51" s="1322"/>
      <c r="T51" s="1325" t="s">
        <v>173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244</v>
      </c>
      <c r="B52" s="1343"/>
      <c r="C52" s="1343"/>
      <c r="D52" s="1343"/>
      <c r="E52" s="2258"/>
      <c r="F52" s="1343"/>
      <c r="G52" s="1343"/>
      <c r="H52" s="1343"/>
      <c r="I52" s="1343"/>
      <c r="J52" s="1343"/>
      <c r="K52" s="1343"/>
      <c r="L52" s="1346"/>
      <c r="M52" s="1321"/>
      <c r="N52" s="1321"/>
      <c r="O52" s="518"/>
      <c r="P52" s="380"/>
      <c r="Q52" s="1344"/>
      <c r="R52" s="380"/>
      <c r="S52" s="1322"/>
      <c r="T52" s="1325" t="s">
        <v>174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175</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86</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02C0C8-302B-A163-88DC-BA9F080CF79A}"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127</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405</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406</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489</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490</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491</v>
      </c>
      <c r="U5" s="300"/>
      <c r="V5" s="2350"/>
      <c r="W5" s="2351"/>
      <c r="X5" s="2351"/>
      <c r="Y5" s="2351"/>
      <c r="Z5" s="2351"/>
      <c r="AA5" s="2351"/>
      <c r="AB5" s="2352"/>
      <c r="AC5" s="2353"/>
      <c r="AD5" s="2354"/>
      <c r="AE5" s="2354"/>
      <c r="AF5" s="2354"/>
      <c r="AG5" s="2354"/>
      <c r="AH5" s="2354"/>
      <c r="AI5" s="2354"/>
      <c r="AJ5" s="2355"/>
      <c r="AK5" s="1258" t="s">
        <v>492</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414</v>
      </c>
      <c r="P6" s="2257"/>
      <c r="Q6" s="2257">
        <v>1</v>
      </c>
      <c r="R6" s="357"/>
      <c r="S6" s="1457">
        <f>$J6</f>
      </c>
      <c r="T6" s="286" t="s">
        <v>415</v>
      </c>
      <c r="U6" s="300"/>
      <c r="V6" s="2245"/>
      <c r="W6" s="2246"/>
      <c r="X6" s="2246"/>
      <c r="Y6" s="2246"/>
      <c r="Z6" s="2246"/>
      <c r="AA6" s="2246"/>
      <c r="AB6" s="2247"/>
      <c r="AC6" s="2245"/>
      <c r="AD6" s="2246"/>
      <c r="AE6" s="2246"/>
      <c r="AF6" s="2246"/>
      <c r="AG6" s="2246"/>
      <c r="AH6" s="2246"/>
      <c r="AI6" s="2246"/>
      <c r="AJ6" s="2247"/>
      <c r="AK6" s="1307" t="s">
        <v>493</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70</v>
      </c>
      <c r="AA7" s="2265"/>
      <c r="AB7" s="2107" t="s">
        <v>70</v>
      </c>
      <c r="AC7" s="751"/>
      <c r="AD7" s="751"/>
      <c r="AE7" s="1257"/>
      <c r="AF7" s="2265"/>
      <c r="AG7" s="2107" t="s">
        <v>70</v>
      </c>
      <c r="AH7" s="2287"/>
      <c r="AI7" s="2107" t="s">
        <v>70</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494</v>
      </c>
      <c r="U9" s="367"/>
      <c r="V9" s="367"/>
      <c r="W9" s="367"/>
      <c r="X9" s="367"/>
      <c r="Y9" s="367"/>
      <c r="Z9" s="367"/>
      <c r="AA9" s="367"/>
      <c r="AB9" s="367"/>
      <c r="AC9" s="367"/>
      <c r="AD9" s="367"/>
      <c r="AE9" s="367"/>
      <c r="AF9" s="367"/>
      <c r="AG9" s="367"/>
      <c r="AH9" s="367"/>
      <c r="AI9" s="367"/>
      <c r="AJ9" s="367"/>
      <c r="AK9" s="1258" t="s">
        <v>495</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420</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496</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173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174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70</v>
      </c>
      <c r="AH15" s="2267"/>
      <c r="AI15" s="2268" t="s">
        <v>70</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422</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423</v>
      </c>
      <c r="P20" s="1362"/>
      <c r="Q20" s="1442"/>
      <c r="R20" s="1442"/>
      <c r="S20" s="729"/>
      <c r="T20" s="1160" t="s">
        <v>424</v>
      </c>
      <c r="Z20" s="186" t="s">
        <v>425</v>
      </c>
      <c r="AB20" s="186" t="s">
        <v>426</v>
      </c>
      <c r="AC20" s="1160" t="s">
        <v>424</v>
      </c>
      <c r="AG20" s="186" t="s">
        <v>427</v>
      </c>
      <c r="AI20" s="186" t="s">
        <v>426</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ООО "Энерго-Сервис"</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тарифам и ценам Курской области</v>
      </c>
      <c r="W27" s="2251"/>
      <c r="X27" s="2251"/>
      <c r="Y27" s="2251"/>
      <c r="Z27" s="2251"/>
      <c r="AA27" s="2251"/>
      <c r="AB27" s="326"/>
      <c r="AC27" s="2251" t="str">
        <f>IF(TITLE_NAME_OR_PR_CHANGE="",IF(TITLE_NAME_OR_PR="","",TITLE_NAME_OR_PR),TITLE_NAME_OR_PR_CHANGE)</f>
        <v>Комитет по тарифам и ценам Курской области</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428</v>
      </c>
      <c r="T28" s="2250"/>
      <c r="U28" s="1372"/>
      <c r="V28" s="2264" t="str">
        <f>IF(TITLE_DATE_PR_CHANGE="",IF(TITLE_DATE_PR="","",TITLE_DATE_PR),TITLE_DATE_PR_CHANGE)</f>
        <v>46010</v>
      </c>
      <c r="W28" s="2264"/>
      <c r="X28" s="2264"/>
      <c r="Y28" s="2264"/>
      <c r="Z28" s="2264"/>
      <c r="AA28" s="2264"/>
      <c r="AB28" s="326"/>
      <c r="AC28" s="2264" t="str">
        <f>IF(TITLE_DATE_PR_CHANGE="",IF(TITLE_DATE_PR="","",TITLE_DATE_PR),TITLE_DATE_PR_CHANGE)</f>
        <v>46010</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429</v>
      </c>
      <c r="T29" s="2250"/>
      <c r="U29" s="1372"/>
      <c r="V29" s="2251" t="str">
        <f>IF(TITLE_NUMBER_PR_CHANGE="",IF(TITLE_NUMBER_PR="","",TITLE_NUMBER_PR),TITLE_NUMBER_PR_CHANGE)</f>
        <v>66</v>
      </c>
      <c r="W29" s="2251"/>
      <c r="X29" s="2251"/>
      <c r="Y29" s="2251"/>
      <c r="Z29" s="2251"/>
      <c r="AA29" s="2251"/>
      <c r="AB29" s="326"/>
      <c r="AC29" s="2251" t="str">
        <f>IF(TITLE_NUMBER_PR_CHANGE="",IF(TITLE_NUMBER_PR="","",TITLE_NUMBER_PR),TITLE_NUMBER_PR_CHANGE)</f>
        <v>66</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https://kurskpravo.ru/accepted-npa-prewev/2528</v>
      </c>
      <c r="W30" s="2251"/>
      <c r="X30" s="2251"/>
      <c r="Y30" s="2251"/>
      <c r="Z30" s="2251"/>
      <c r="AA30" s="2251"/>
      <c r="AB30" s="326"/>
      <c r="AC30" s="2251" t="str">
        <f>IF(TITLE_IST_PUB_CHANGE="",IF(TITLE_IST_PUB="","",TITLE_IST_PUB),TITLE_IST_PUB_CHANGE)</f>
        <v>https://kurskpravo.ru/accepted-npa-prewev/2528</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430</v>
      </c>
      <c r="T32" s="2250"/>
      <c r="U32" s="1372"/>
      <c r="V32" s="2264" t="str">
        <f>IF(TITLE_DATE_PR_CHANGE="",IF(TITLE_DATE_PR="","",TITLE_DATE_PR),TITLE_DATE_PR_CHANGE)</f>
        <v>46010</v>
      </c>
      <c r="W32" s="2264"/>
      <c r="X32" s="2264"/>
      <c r="Y32" s="2264"/>
      <c r="Z32" s="2264"/>
      <c r="AA32" s="2264"/>
      <c r="AB32" s="326"/>
      <c r="AC32" s="2264" t="str">
        <f>IF(TITLE_DATE_PR_CHANGE="",IF(TITLE_DATE_PR="","",TITLE_DATE_PR),TITLE_DATE_PR_CHANGE)</f>
        <v>46010</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431</v>
      </c>
      <c r="T33" s="2250"/>
      <c r="U33" s="1372"/>
      <c r="V33" s="2251" t="str">
        <f>IF(TITLE_NUMBER_PR_CHANGE="",IF(TITLE_NUMBER_PR="","",TITLE_NUMBER_PR),TITLE_NUMBER_PR_CHANGE)</f>
        <v>66</v>
      </c>
      <c r="W33" s="2251"/>
      <c r="X33" s="2251"/>
      <c r="Y33" s="2251"/>
      <c r="Z33" s="2251"/>
      <c r="AA33" s="2251"/>
      <c r="AB33" s="326"/>
      <c r="AC33" s="2251" t="str">
        <f>IF(TITLE_NUMBER_PR_CHANGE="",IF(TITLE_NUMBER_PR="","",TITLE_NUMBER_PR),TITLE_NUMBER_PR_CHANGE)</f>
        <v>66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432</v>
      </c>
      <c r="AC34" s="326"/>
      <c r="AD34" s="326"/>
      <c r="AE34" s="326"/>
      <c r="AF34" s="326"/>
      <c r="AG34" s="326"/>
      <c r="AH34" s="326"/>
      <c r="AI34" s="278" t="s">
        <v>432</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308</v>
      </c>
      <c r="T36" s="2127"/>
      <c r="U36" s="2127"/>
      <c r="V36" s="2127"/>
      <c r="W36" s="2127"/>
      <c r="X36" s="2127"/>
      <c r="Y36" s="2127"/>
      <c r="Z36" s="2127"/>
      <c r="AA36" s="2127"/>
      <c r="AB36" s="2127"/>
      <c r="AC36" s="2127"/>
      <c r="AD36" s="2127"/>
      <c r="AE36" s="2127"/>
      <c r="AF36" s="2127"/>
      <c r="AG36" s="2127"/>
      <c r="AH36" s="2127"/>
      <c r="AI36" s="2127"/>
      <c r="AJ36" s="2127"/>
      <c r="AK36" s="2127" t="s">
        <v>309</v>
      </c>
      <c r="AQ36" s="1155">
        <v>14</v>
      </c>
    </row>
    <row customHeight="1" ht="14.699999999999998">
      <c r="Q37" s="376"/>
      <c r="R37" s="376"/>
      <c r="S37" s="2273" t="s">
        <v>92</v>
      </c>
      <c r="T37" s="2209" t="s">
        <v>433</v>
      </c>
      <c r="U37" s="301"/>
      <c r="V37" s="2274" t="s">
        <v>434</v>
      </c>
      <c r="W37" s="2275"/>
      <c r="X37" s="2275"/>
      <c r="Y37" s="2275"/>
      <c r="Z37" s="2275"/>
      <c r="AA37" s="2276"/>
      <c r="AB37" s="2277" t="s">
        <v>435</v>
      </c>
      <c r="AC37" s="2274" t="s">
        <v>434</v>
      </c>
      <c r="AD37" s="2275"/>
      <c r="AE37" s="2275"/>
      <c r="AF37" s="2275"/>
      <c r="AG37" s="2275"/>
      <c r="AH37" s="2276"/>
      <c r="AI37" s="2277" t="s">
        <v>436</v>
      </c>
      <c r="AJ37" s="2280" t="s">
        <v>437</v>
      </c>
      <c r="AK37" s="2127"/>
      <c r="AQ37" s="1155">
        <v>14</v>
      </c>
    </row>
    <row customHeight="1" ht="35.699999999999996">
      <c r="Q38" s="376"/>
      <c r="R38" s="376"/>
      <c r="S38" s="2273"/>
      <c r="T38" s="2209"/>
      <c r="U38" s="1031"/>
      <c r="V38" s="1452" t="s">
        <v>497</v>
      </c>
      <c r="W38" s="2262" t="s">
        <v>440</v>
      </c>
      <c r="X38" s="2263"/>
      <c r="Y38" s="2262" t="s">
        <v>441</v>
      </c>
      <c r="Z38" s="2269"/>
      <c r="AA38" s="2263"/>
      <c r="AB38" s="2278"/>
      <c r="AC38" s="1452" t="s">
        <v>497</v>
      </c>
      <c r="AD38" s="2262" t="s">
        <v>440</v>
      </c>
      <c r="AE38" s="2263"/>
      <c r="AF38" s="2262" t="s">
        <v>441</v>
      </c>
      <c r="AG38" s="2269"/>
      <c r="AH38" s="2263"/>
      <c r="AI38" s="2278"/>
      <c r="AJ38" s="2281"/>
      <c r="AK38" s="2127"/>
      <c r="AQ38" s="1155">
        <v>34</v>
      </c>
    </row>
    <row customHeight="1" ht="35.699999999999996">
      <c r="A39" s="1370"/>
      <c r="B39" s="1370" t="s">
        <v>139</v>
      </c>
      <c r="C39" s="1370" t="s">
        <v>140</v>
      </c>
      <c r="D39" s="1370" t="s">
        <v>141</v>
      </c>
      <c r="E39" s="1364" t="s">
        <v>442</v>
      </c>
      <c r="F39" s="1364" t="s">
        <v>443</v>
      </c>
      <c r="G39" s="1364" t="s">
        <v>444</v>
      </c>
      <c r="H39" s="1364"/>
      <c r="I39" s="1364" t="s">
        <v>498</v>
      </c>
      <c r="J39" s="1364" t="s">
        <v>447</v>
      </c>
      <c r="K39" s="1364" t="s">
        <v>499</v>
      </c>
      <c r="L39" s="1364" t="s">
        <v>423</v>
      </c>
      <c r="Q39" s="376"/>
      <c r="R39" s="376"/>
      <c r="S39" s="2273"/>
      <c r="T39" s="2209"/>
      <c r="U39" s="302"/>
      <c r="V39" s="1452" t="s">
        <v>500</v>
      </c>
      <c r="W39" s="1222" t="s">
        <v>501</v>
      </c>
      <c r="X39" s="1222" t="s">
        <v>502</v>
      </c>
      <c r="Y39" s="1455" t="s">
        <v>451</v>
      </c>
      <c r="Z39" s="2270" t="s">
        <v>452</v>
      </c>
      <c r="AA39" s="2271"/>
      <c r="AB39" s="2279"/>
      <c r="AC39" s="1452" t="s">
        <v>500</v>
      </c>
      <c r="AD39" s="1222" t="s">
        <v>501</v>
      </c>
      <c r="AE39" s="1222" t="s">
        <v>502</v>
      </c>
      <c r="AF39" s="1455" t="s">
        <v>451</v>
      </c>
      <c r="AG39" s="2270" t="s">
        <v>452</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113</v>
      </c>
      <c r="T40" s="1255" t="s">
        <v>114</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249</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127</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249</v>
      </c>
      <c r="B42" s="1363" t="s">
        <v>250</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405</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406</v>
      </c>
      <c r="AM42" s="500"/>
      <c r="AN42" s="500" t="str">
        <f>IF(T42="","",T42)</f>
        <v>Территория действия тарифа</v>
      </c>
      <c r="AO42" s="500"/>
      <c r="AP42" s="500"/>
      <c r="AQ42" s="1155">
        <v>23</v>
      </c>
    </row>
    <row customHeight="1" ht="24">
      <c r="A43" s="1363" t="s">
        <v>249</v>
      </c>
      <c r="B43" s="1363" t="s">
        <v>250</v>
      </c>
      <c r="C43" s="1363" t="s">
        <v>251</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489</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490</v>
      </c>
      <c r="AM43" s="500"/>
      <c r="AN43" s="500" t="str">
        <f>IF(T43="","",T43)</f>
        <v>Наименование централизованной системы холодного водоснабжения</v>
      </c>
      <c r="AO43" s="500"/>
      <c r="AP43" s="500"/>
      <c r="AQ43" s="1155">
        <v>23</v>
      </c>
    </row>
    <row customHeight="1" ht="24">
      <c r="A44" s="1363" t="s">
        <v>249</v>
      </c>
      <c r="B44" s="1363" t="s">
        <v>250</v>
      </c>
      <c r="C44" s="1363" t="s">
        <v>251</v>
      </c>
      <c r="D44" s="1363" t="s">
        <v>506</v>
      </c>
      <c r="E44" s="2259"/>
      <c r="F44" s="2259"/>
      <c r="G44" s="2259"/>
      <c r="H44" s="2259"/>
      <c r="I44" s="2256" t="str">
        <f>S43&amp;".1"</f>
        <v>...1</v>
      </c>
      <c r="J44" s="1363"/>
      <c r="K44" s="1363"/>
      <c r="L44" s="1364"/>
      <c r="P44" s="2257">
        <v>1</v>
      </c>
      <c r="Q44" s="1450"/>
      <c r="R44" s="356"/>
      <c r="S44" s="1457" t="str">
        <f>$I44</f>
        <v>...1</v>
      </c>
      <c r="T44" s="285" t="s">
        <v>491</v>
      </c>
      <c r="U44" s="300"/>
      <c r="V44" s="2350"/>
      <c r="W44" s="2351"/>
      <c r="X44" s="2351"/>
      <c r="Y44" s="2351"/>
      <c r="Z44" s="2351"/>
      <c r="AA44" s="2351"/>
      <c r="AB44" s="2352"/>
      <c r="AC44" s="2353"/>
      <c r="AD44" s="2354"/>
      <c r="AE44" s="2354"/>
      <c r="AF44" s="2354"/>
      <c r="AG44" s="2354"/>
      <c r="AH44" s="2354"/>
      <c r="AI44" s="2354"/>
      <c r="AJ44" s="2355"/>
      <c r="AK44" s="1258" t="s">
        <v>492</v>
      </c>
      <c r="AM44" s="500"/>
      <c r="AN44" s="500" t="str">
        <f>IF(T44="","",T44)</f>
        <v>Наименование признака дифференциации</v>
      </c>
      <c r="AO44" s="500"/>
      <c r="AP44" s="500"/>
      <c r="AQ44" s="1155">
        <v>23</v>
      </c>
    </row>
    <row customHeight="1" ht="24">
      <c r="A45" s="1363" t="s">
        <v>249</v>
      </c>
      <c r="B45" s="1363" t="s">
        <v>250</v>
      </c>
      <c r="C45" s="1363" t="s">
        <v>251</v>
      </c>
      <c r="D45" s="1363" t="s">
        <v>506</v>
      </c>
      <c r="E45" s="2259"/>
      <c r="F45" s="2259"/>
      <c r="G45" s="2259"/>
      <c r="H45" s="2259"/>
      <c r="I45" s="2286"/>
      <c r="J45" s="2256" t="str">
        <f>I44&amp;".1"</f>
        <v>...1.1</v>
      </c>
      <c r="K45" s="1363"/>
      <c r="L45" s="1364" t="s">
        <v>414</v>
      </c>
      <c r="P45" s="2257"/>
      <c r="Q45" s="2257">
        <v>1</v>
      </c>
      <c r="R45" s="357"/>
      <c r="S45" s="1457" t="str">
        <f>$J45</f>
        <v>...1.1</v>
      </c>
      <c r="T45" s="286" t="s">
        <v>415</v>
      </c>
      <c r="U45" s="300"/>
      <c r="V45" s="2245"/>
      <c r="W45" s="2246"/>
      <c r="X45" s="2246"/>
      <c r="Y45" s="2246"/>
      <c r="Z45" s="2246"/>
      <c r="AA45" s="2246"/>
      <c r="AB45" s="2247"/>
      <c r="AC45" s="2245"/>
      <c r="AD45" s="2246"/>
      <c r="AE45" s="2246"/>
      <c r="AF45" s="2246"/>
      <c r="AG45" s="2246"/>
      <c r="AH45" s="2246"/>
      <c r="AI45" s="2246"/>
      <c r="AJ45" s="2247"/>
      <c r="AK45" s="1307" t="s">
        <v>493</v>
      </c>
      <c r="AM45" s="500"/>
      <c r="AN45" s="500" t="str">
        <f>IF(T45="","",T45)</f>
        <v>Группа потребителей</v>
      </c>
      <c r="AO45" s="500"/>
      <c r="AP45" s="500"/>
      <c r="AQ45" s="1155">
        <v>23</v>
      </c>
    </row>
    <row customHeight="1" ht="24">
      <c r="A46" s="1363" t="s">
        <v>249</v>
      </c>
      <c r="B46" s="1363" t="s">
        <v>250</v>
      </c>
      <c r="C46" s="1363" t="s">
        <v>251</v>
      </c>
      <c r="D46" s="1363" t="s">
        <v>506</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70</v>
      </c>
      <c r="AA46" s="2265"/>
      <c r="AB46" s="2107" t="s">
        <v>70</v>
      </c>
      <c r="AC46" s="751"/>
      <c r="AD46" s="751"/>
      <c r="AE46" s="1257"/>
      <c r="AF46" s="2265"/>
      <c r="AG46" s="2107" t="s">
        <v>70</v>
      </c>
      <c r="AH46" s="2287"/>
      <c r="AI46" s="2107" t="s">
        <v>70</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249</v>
      </c>
      <c r="B47" s="1363" t="s">
        <v>250</v>
      </c>
      <c r="C47" s="1363" t="s">
        <v>251</v>
      </c>
      <c r="D47" s="1363" t="s">
        <v>506</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249</v>
      </c>
      <c r="B48" s="1363" t="s">
        <v>250</v>
      </c>
      <c r="C48" s="1363" t="s">
        <v>251</v>
      </c>
      <c r="D48" s="1363" t="s">
        <v>506</v>
      </c>
      <c r="E48" s="2259"/>
      <c r="F48" s="2259"/>
      <c r="G48" s="2259"/>
      <c r="H48" s="2259"/>
      <c r="I48" s="2286"/>
      <c r="J48" s="2256"/>
      <c r="K48" s="1363"/>
      <c r="L48" s="1364"/>
      <c r="P48" s="2257"/>
      <c r="Q48" s="2257"/>
      <c r="R48" s="356"/>
      <c r="S48" s="1278"/>
      <c r="T48" s="287" t="s">
        <v>494</v>
      </c>
      <c r="U48" s="367"/>
      <c r="V48" s="367"/>
      <c r="W48" s="367"/>
      <c r="X48" s="367"/>
      <c r="Y48" s="367"/>
      <c r="Z48" s="367"/>
      <c r="AA48" s="367"/>
      <c r="AB48" s="367"/>
      <c r="AC48" s="367"/>
      <c r="AD48" s="367"/>
      <c r="AE48" s="367"/>
      <c r="AF48" s="367"/>
      <c r="AG48" s="367"/>
      <c r="AH48" s="367"/>
      <c r="AI48" s="367"/>
      <c r="AJ48" s="367"/>
      <c r="AK48" s="1258" t="s">
        <v>495</v>
      </c>
      <c r="AM48" s="500"/>
      <c r="AN48" s="500" t="str">
        <f>IF(T48="","",T48)</f>
        <v>Добавить значение признака дифференциации</v>
      </c>
      <c r="AO48" s="500"/>
      <c r="AP48" s="500"/>
      <c r="AQ48" s="1155">
        <v>20</v>
      </c>
    </row>
    <row customHeight="1" ht="22.049999999999997">
      <c r="A49" s="1363" t="s">
        <v>249</v>
      </c>
      <c r="B49" s="1363" t="s">
        <v>250</v>
      </c>
      <c r="C49" s="1363" t="s">
        <v>251</v>
      </c>
      <c r="D49" s="1363" t="s">
        <v>506</v>
      </c>
      <c r="E49" s="2259"/>
      <c r="F49" s="2259"/>
      <c r="G49" s="2259"/>
      <c r="H49" s="2259"/>
      <c r="I49" s="2256"/>
      <c r="J49" s="1363"/>
      <c r="K49" s="1363"/>
      <c r="L49" s="1364"/>
      <c r="P49" s="2257"/>
      <c r="Q49" s="1450"/>
      <c r="R49" s="356"/>
      <c r="S49" s="1278"/>
      <c r="T49" s="365" t="s">
        <v>420</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249</v>
      </c>
      <c r="B50" s="1363" t="s">
        <v>250</v>
      </c>
      <c r="C50" s="1363" t="s">
        <v>251</v>
      </c>
      <c r="D50" s="1363" t="s">
        <v>506</v>
      </c>
      <c r="E50" s="2259"/>
      <c r="F50" s="2259"/>
      <c r="G50" s="2259"/>
      <c r="H50" s="2258"/>
      <c r="I50" s="1363"/>
      <c r="J50" s="1363"/>
      <c r="K50" s="1363"/>
      <c r="L50" s="1364"/>
      <c r="M50" s="1365"/>
      <c r="N50" s="1365"/>
      <c r="O50" s="537"/>
      <c r="P50" s="360"/>
      <c r="Q50" s="375"/>
      <c r="R50" s="355"/>
      <c r="S50" s="1278"/>
      <c r="T50" s="372" t="s">
        <v>496</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249</v>
      </c>
      <c r="B51" s="1343" t="s">
        <v>250</v>
      </c>
      <c r="C51" s="1314"/>
      <c r="D51" s="1314"/>
      <c r="E51" s="2259"/>
      <c r="F51" s="2258"/>
      <c r="G51" s="1314"/>
      <c r="H51" s="1314"/>
      <c r="I51" s="1314"/>
      <c r="J51" s="1314"/>
      <c r="K51" s="1314"/>
      <c r="L51" s="1458"/>
      <c r="M51" s="1321"/>
      <c r="N51" s="1321"/>
      <c r="P51" s="1316"/>
      <c r="Q51" s="1317"/>
      <c r="R51" s="1316"/>
      <c r="S51" s="1322"/>
      <c r="T51" s="1325" t="s">
        <v>173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249</v>
      </c>
      <c r="B52" s="1343"/>
      <c r="C52" s="1343"/>
      <c r="D52" s="1343"/>
      <c r="E52" s="2258"/>
      <c r="F52" s="1343"/>
      <c r="G52" s="1343"/>
      <c r="H52" s="1343"/>
      <c r="I52" s="1343"/>
      <c r="J52" s="1343"/>
      <c r="K52" s="1343"/>
      <c r="L52" s="1346"/>
      <c r="M52" s="1321"/>
      <c r="N52" s="1321"/>
      <c r="O52" s="518"/>
      <c r="P52" s="380"/>
      <c r="Q52" s="1344"/>
      <c r="R52" s="380"/>
      <c r="S52" s="1322"/>
      <c r="T52" s="1325" t="s">
        <v>174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175</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86</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6B1E28-9E5B-4248-6A78-00D752AB874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127</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404</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405</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406</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407</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408</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409</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410</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411</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70</v>
      </c>
      <c r="Z8" s="1992"/>
      <c r="AA8" s="1990" t="s">
        <v>70</v>
      </c>
      <c r="AB8" s="1996"/>
      <c r="AC8" s="1997" t="s">
        <v>28</v>
      </c>
      <c r="AD8" s="751"/>
      <c r="AE8" s="1257"/>
      <c r="AF8" s="1955"/>
      <c r="AG8" s="1942" t="s">
        <v>70</v>
      </c>
      <c r="AH8" s="1955"/>
      <c r="AI8" s="1942" t="s">
        <v>70</v>
      </c>
      <c r="AJ8" s="1348"/>
      <c r="AK8" s="2253" t="s">
        <v>472</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476</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172</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173</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174</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70</v>
      </c>
      <c r="AH16" s="1736"/>
      <c r="AI16" s="1966" t="s">
        <v>70</v>
      </c>
      <c r="AQ16" s="1631">
        <v>0</v>
      </c>
    </row>
    <row customHeight="1" ht="14.25" hidden="1">
      <c r="AL17" s="1641"/>
      <c r="AM17" s="1641"/>
      <c r="AN17" s="1641"/>
      <c r="AO17" s="1641"/>
      <c r="AP17" s="1641"/>
      <c r="AQ17" s="1631">
        <v>0</v>
      </c>
    </row>
    <row customHeight="1" ht="14.25" hidden="1">
      <c r="O18" s="1345" t="s">
        <v>422</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423</v>
      </c>
      <c r="P20" s="1508"/>
      <c r="Q20" s="1510"/>
      <c r="R20" s="1510"/>
      <c r="Y20" s="1507" t="s">
        <v>425</v>
      </c>
      <c r="AA20" s="1507" t="s">
        <v>426</v>
      </c>
      <c r="AC20" s="1507" t="s">
        <v>478</v>
      </c>
      <c r="AG20" s="1507" t="s">
        <v>425</v>
      </c>
      <c r="AI20" s="1507" t="s">
        <v>426</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ООО "Энерго-Сервис"</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Комитет по тарифам и ценам Курской области</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428</v>
      </c>
      <c r="T28" s="2250"/>
      <c r="U28" s="1372"/>
      <c r="V28" s="2264" t="str">
        <f>IF(TITLE_DATE_PR_CHANGE="",IF(TITLE_DATE_PR="","",TITLE_DATE_PR),TITLE_DATE_PR_CHANGE)</f>
        <v>46010</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429</v>
      </c>
      <c r="T29" s="2250"/>
      <c r="U29" s="1372"/>
      <c r="V29" s="2251" t="str">
        <f>IF(TITLE_NUMBER_PR_CHANGE="",IF(TITLE_NUMBER_PR="","",TITLE_NUMBER_PR),TITLE_NUMBER_PR_CHANGE)</f>
        <v>66</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44</v>
      </c>
      <c r="T30" s="2250"/>
      <c r="U30" s="1372"/>
      <c r="V30" s="2251" t="str">
        <f>IF(TITLE_IST_PUB_CHANGE="",IF(TITLE_IST_PUB="","",TITLE_IST_PUB),TITLE_IST_PUB_CHANGE)</f>
        <v>https://kurskpravo.ru/accepted-npa-prewev/2528</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428</v>
      </c>
      <c r="T32" s="2250"/>
      <c r="U32" s="1372"/>
      <c r="V32" s="2264" t="str">
        <f>IF(TITLE_DATE_PR_CHANGE="",IF(TITLE_DATE_PR="","",TITLE_DATE_PR),TITLE_DATE_PR_CHANGE)</f>
        <v>46010</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429</v>
      </c>
      <c r="T33" s="2250"/>
      <c r="U33" s="1372"/>
      <c r="V33" s="2251" t="str">
        <f>IF(TITLE_NUMBER_PR_CHANGE="",IF(TITLE_NUMBER_PR="","",TITLE_NUMBER_PR),TITLE_NUMBER_PR_CHANGE)</f>
        <v>66</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432</v>
      </c>
      <c r="AB34" s="1642"/>
      <c r="AC34" s="1635"/>
      <c r="AD34" s="1635"/>
      <c r="AE34" s="1635"/>
      <c r="AF34" s="1635"/>
      <c r="AG34" s="1635"/>
      <c r="AH34" s="1635"/>
      <c r="AI34" s="1642" t="s">
        <v>432</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308</v>
      </c>
      <c r="T36" s="2127"/>
      <c r="U36" s="2127"/>
      <c r="V36" s="2127"/>
      <c r="W36" s="2127"/>
      <c r="X36" s="2127"/>
      <c r="Y36" s="2127"/>
      <c r="Z36" s="2127"/>
      <c r="AA36" s="2175"/>
      <c r="AB36" s="2175"/>
      <c r="AC36" s="2175"/>
      <c r="AD36" s="2127"/>
      <c r="AE36" s="2127"/>
      <c r="AF36" s="2127"/>
      <c r="AG36" s="2127"/>
      <c r="AH36" s="2127"/>
      <c r="AI36" s="2127"/>
      <c r="AJ36" s="2127"/>
      <c r="AK36" s="2127" t="s">
        <v>309</v>
      </c>
      <c r="AQ36" s="1631">
        <v>14</v>
      </c>
    </row>
    <row customHeight="1" ht="14.699999999999998">
      <c r="Q37" s="291"/>
      <c r="R37" s="376"/>
      <c r="S37" s="2273" t="s">
        <v>92</v>
      </c>
      <c r="T37" s="2209" t="s">
        <v>507</v>
      </c>
      <c r="U37" s="337"/>
      <c r="V37" s="2275"/>
      <c r="W37" s="2275"/>
      <c r="X37" s="2275"/>
      <c r="Y37" s="2275"/>
      <c r="Z37" s="2275"/>
      <c r="AA37" s="2209" t="s">
        <v>435</v>
      </c>
      <c r="AB37" s="2208" t="s">
        <v>508</v>
      </c>
      <c r="AC37" s="2208" t="s">
        <v>482</v>
      </c>
      <c r="AD37" s="2291" t="s">
        <v>434</v>
      </c>
      <c r="AE37" s="2291"/>
      <c r="AF37" s="2275"/>
      <c r="AG37" s="2275"/>
      <c r="AH37" s="2276"/>
      <c r="AI37" s="2277" t="s">
        <v>435</v>
      </c>
      <c r="AJ37" s="2280" t="s">
        <v>437</v>
      </c>
      <c r="AK37" s="2127"/>
      <c r="AQ37" s="1631">
        <v>14</v>
      </c>
    </row>
    <row customHeight="1" ht="35.699999999999996">
      <c r="Q38" s="291"/>
      <c r="R38" s="376"/>
      <c r="S38" s="2273"/>
      <c r="T38" s="2209"/>
      <c r="U38" s="1031"/>
      <c r="V38" s="2103" t="s">
        <v>485</v>
      </c>
      <c r="W38" s="2127"/>
      <c r="X38" s="2294" t="s">
        <v>441</v>
      </c>
      <c r="Y38" s="2313"/>
      <c r="Z38" s="2313"/>
      <c r="AA38" s="2209"/>
      <c r="AB38" s="2208"/>
      <c r="AC38" s="2208"/>
      <c r="AD38" s="2103" t="s">
        <v>485</v>
      </c>
      <c r="AE38" s="2127"/>
      <c r="AF38" s="2313" t="s">
        <v>441</v>
      </c>
      <c r="AG38" s="2313"/>
      <c r="AH38" s="2314"/>
      <c r="AI38" s="2278"/>
      <c r="AJ38" s="2281"/>
      <c r="AK38" s="2127"/>
      <c r="AQ38" s="1631">
        <v>34</v>
      </c>
    </row>
    <row customHeight="1" ht="14.699999999999998">
      <c r="Q39" s="291"/>
      <c r="R39" s="376"/>
      <c r="S39" s="2273"/>
      <c r="T39" s="2209"/>
      <c r="U39" s="1031"/>
      <c r="V39" s="2340" t="str">
        <f>IF($AD$39&lt;&gt;"",$AD$39,"")</f>
        <v/>
      </c>
      <c r="W39" s="2340"/>
      <c r="X39" s="2295"/>
      <c r="Y39" s="2315"/>
      <c r="Z39" s="2315"/>
      <c r="AA39" s="2209"/>
      <c r="AB39" s="2208"/>
      <c r="AC39" s="2208"/>
      <c r="AD39" s="2356"/>
      <c r="AE39" s="2339"/>
      <c r="AF39" s="2315"/>
      <c r="AG39" s="2315"/>
      <c r="AH39" s="2316"/>
      <c r="AI39" s="2278"/>
      <c r="AJ39" s="2281"/>
      <c r="AK39" s="2127"/>
      <c r="AQ39" s="1631">
        <v>14</v>
      </c>
    </row>
    <row customHeight="1" ht="14.699999999999998">
      <c r="A40" s="1266"/>
      <c r="B40" s="1266" t="s">
        <v>139</v>
      </c>
      <c r="C40" s="1266" t="s">
        <v>140</v>
      </c>
      <c r="D40" s="1266" t="s">
        <v>141</v>
      </c>
      <c r="E40" s="1310" t="s">
        <v>442</v>
      </c>
      <c r="F40" s="1310" t="s">
        <v>443</v>
      </c>
      <c r="G40" s="1310" t="s">
        <v>444</v>
      </c>
      <c r="H40" s="1310" t="s">
        <v>445</v>
      </c>
      <c r="I40" s="1310" t="s">
        <v>446</v>
      </c>
      <c r="J40" s="1310" t="s">
        <v>447</v>
      </c>
      <c r="K40" s="1310" t="s">
        <v>448</v>
      </c>
      <c r="L40" s="1310" t="s">
        <v>423</v>
      </c>
      <c r="Q40" s="291"/>
      <c r="R40" s="376"/>
      <c r="S40" s="2273"/>
      <c r="T40" s="2209"/>
      <c r="U40" s="302"/>
      <c r="V40" s="1950" t="s">
        <v>486</v>
      </c>
      <c r="W40" s="1950" t="s">
        <v>487</v>
      </c>
      <c r="X40" s="1938" t="s">
        <v>451</v>
      </c>
      <c r="Y40" s="2270" t="s">
        <v>452</v>
      </c>
      <c r="Z40" s="2320"/>
      <c r="AA40" s="2209"/>
      <c r="AB40" s="2208"/>
      <c r="AC40" s="2208"/>
      <c r="AD40" s="1968" t="s">
        <v>486</v>
      </c>
      <c r="AE40" s="1959" t="s">
        <v>487</v>
      </c>
      <c r="AF40" s="1938" t="s">
        <v>451</v>
      </c>
      <c r="AG40" s="2270" t="s">
        <v>452</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113</v>
      </c>
      <c r="T41" s="1255" t="s">
        <v>114</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214</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0</v>
      </c>
      <c r="T42" s="1525" t="s">
        <v>127</v>
      </c>
      <c r="U42" s="300"/>
      <c r="V42" s="2243"/>
      <c r="W42" s="2243"/>
      <c r="X42" s="2243"/>
      <c r="Y42" s="2243"/>
      <c r="Z42" s="2243"/>
      <c r="AA42" s="2244"/>
      <c r="AB42" s="1952"/>
      <c r="AC42" s="2243" t="str">
        <f>INDEX(PT_DIFFERENTIATION_NTAR,MATCH(A42,PT_DIFFERENTIATION_NTAR_ID,0))</f>
        <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4"/>
      <c r="AN42" s="1624" t="str">
        <f>IF(T42="","",T42)</f>
        <v>Наименование тарифа</v>
      </c>
      <c r="AO42" s="1624"/>
      <c r="AP42" s="1624"/>
      <c r="AQ42" s="1631">
        <v>102</v>
      </c>
    </row>
    <row customHeight="1" ht="22.049999999999997">
      <c r="A43" s="1267" t="s">
        <v>214</v>
      </c>
      <c r="B43" s="1267" t="s">
        <v>215</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v>
      </c>
      <c r="T43" s="1522" t="s">
        <v>405</v>
      </c>
      <c r="U43" s="300"/>
      <c r="V43" s="2243"/>
      <c r="W43" s="2243"/>
      <c r="X43" s="2243"/>
      <c r="Y43" s="2243"/>
      <c r="Z43" s="2243"/>
      <c r="AA43" s="2244"/>
      <c r="AB43" s="1952"/>
      <c r="AC43" s="2243" t="str">
        <f>INDEX(PT_DIFFERENTIATION_TER,MATCH(B43,PT_DIFFERENTIATION_TER_ID,0))</f>
        <v/>
      </c>
      <c r="AD43" s="2243"/>
      <c r="AE43" s="2243"/>
      <c r="AF43" s="2243"/>
      <c r="AG43" s="2243"/>
      <c r="AH43" s="2243"/>
      <c r="AI43" s="2243"/>
      <c r="AJ43" s="2244"/>
      <c r="AK43" s="1258" t="s">
        <v>406</v>
      </c>
      <c r="AM43" s="1624"/>
      <c r="AN43" s="1624" t="str">
        <f>IF(T43="","",T43)</f>
        <v>Территория действия тарифа</v>
      </c>
      <c r="AO43" s="1624"/>
      <c r="AP43" s="1624"/>
      <c r="AQ43" s="1631">
        <v>21</v>
      </c>
    </row>
    <row customHeight="1" ht="24">
      <c r="A44" s="1267" t="s">
        <v>214</v>
      </c>
      <c r="B44" s="1267" t="s">
        <v>215</v>
      </c>
      <c r="C44" s="1267" t="s">
        <v>216</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v>
      </c>
      <c r="T44" s="309" t="s">
        <v>407</v>
      </c>
      <c r="U44" s="300"/>
      <c r="V44" s="2243"/>
      <c r="W44" s="2243"/>
      <c r="X44" s="2243"/>
      <c r="Y44" s="2243"/>
      <c r="Z44" s="2243"/>
      <c r="AA44" s="2244"/>
      <c r="AB44" s="1952"/>
      <c r="AC44" s="2243" t="str">
        <f>INDEX(PT_DIFFERENTIATION_CS,MATCH(C44,PT_DIFFERENTIATION_CS_ID,0))</f>
        <v/>
      </c>
      <c r="AD44" s="2243"/>
      <c r="AE44" s="2243"/>
      <c r="AF44" s="2243"/>
      <c r="AG44" s="2243"/>
      <c r="AH44" s="2243"/>
      <c r="AI44" s="2243"/>
      <c r="AJ44" s="2244"/>
      <c r="AK44" s="1258" t="s">
        <v>408</v>
      </c>
      <c r="AM44" s="1624"/>
      <c r="AN44" s="1624" t="str">
        <f>IF(T44="","",T44)</f>
        <v>Наименование системы теплоснабжения </v>
      </c>
      <c r="AO44" s="1624"/>
      <c r="AP44" s="1624"/>
      <c r="AQ44" s="1631">
        <v>23</v>
      </c>
    </row>
    <row customHeight="1" ht="22.049999999999997">
      <c r="A45" s="1267" t="s">
        <v>214</v>
      </c>
      <c r="B45" s="1267" t="s">
        <v>215</v>
      </c>
      <c r="C45" s="1267" t="s">
        <v>216</v>
      </c>
      <c r="D45" s="1267" t="s">
        <v>217</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v>
      </c>
      <c r="T45" s="310" t="s">
        <v>409</v>
      </c>
      <c r="U45" s="300"/>
      <c r="V45" s="2243"/>
      <c r="W45" s="2243"/>
      <c r="X45" s="2243"/>
      <c r="Y45" s="2243"/>
      <c r="Z45" s="2243"/>
      <c r="AA45" s="2244"/>
      <c r="AB45" s="1952"/>
      <c r="AC45" s="2243" t="str">
        <f>INDEX(PT_DIFFERENTIATION_IST_TE,MATCH(D45,PT_DIFFERENTIATION_IST_TE_ID,0))</f>
        <v/>
      </c>
      <c r="AD45" s="2243"/>
      <c r="AE45" s="2243"/>
      <c r="AF45" s="2243"/>
      <c r="AG45" s="2243"/>
      <c r="AH45" s="2243"/>
      <c r="AI45" s="2243"/>
      <c r="AJ45" s="2244"/>
      <c r="AK45" s="1258" t="s">
        <v>410</v>
      </c>
      <c r="AM45" s="1624"/>
      <c r="AN45" s="1624" t="str">
        <f>IF(T45="","",T45)</f>
        <v>Источник тепловой энергии  </v>
      </c>
      <c r="AO45" s="1624"/>
      <c r="AP45" s="1624"/>
      <c r="AQ45" s="1631">
        <v>21</v>
      </c>
    </row>
    <row s="1642" customFormat="1" customHeight="1" ht="0">
      <c r="A46" s="1375" t="s">
        <v>214</v>
      </c>
      <c r="B46" s="1375" t="s">
        <v>215</v>
      </c>
      <c r="C46" s="1375" t="s">
        <v>216</v>
      </c>
      <c r="D46" s="1375" t="s">
        <v>217</v>
      </c>
      <c r="E46" s="2290"/>
      <c r="F46" s="2290"/>
      <c r="G46" s="2290"/>
      <c r="H46" s="2290"/>
      <c r="I46" s="2127" t="str">
        <f>S45&amp;".1"</f>
        <v>....1</v>
      </c>
      <c r="J46" s="1375"/>
      <c r="K46" s="1375"/>
      <c r="L46" s="1381" t="s">
        <v>411</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214</v>
      </c>
      <c r="B47" s="1375" t="s">
        <v>215</v>
      </c>
      <c r="C47" s="1375" t="s">
        <v>216</v>
      </c>
      <c r="D47" s="1375" t="s">
        <v>217</v>
      </c>
      <c r="E47" s="2290"/>
      <c r="F47" s="2290"/>
      <c r="G47" s="2290"/>
      <c r="H47" s="2290"/>
      <c r="I47" s="2101"/>
      <c r="J47" s="2127" t="str">
        <f>S45&amp;".1"</f>
        <v>....1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22.049999999999997">
      <c r="A48" s="1267" t="s">
        <v>214</v>
      </c>
      <c r="B48" s="1267" t="s">
        <v>215</v>
      </c>
      <c r="C48" s="1267" t="s">
        <v>216</v>
      </c>
      <c r="D48" s="1267" t="s">
        <v>217</v>
      </c>
      <c r="E48" s="2290"/>
      <c r="F48" s="2290"/>
      <c r="G48" s="2290"/>
      <c r="H48" s="2290"/>
      <c r="I48" s="2101"/>
      <c r="J48" s="2101"/>
      <c r="K48" s="1941" t="str">
        <f>S45&amp;".1"</f>
        <v>....1</v>
      </c>
      <c r="L48" s="1310"/>
      <c r="P48" s="2257"/>
      <c r="Q48" s="2257"/>
      <c r="R48" s="357">
        <v>1</v>
      </c>
      <c r="S48" s="1962" t="str">
        <f>$K48</f>
        <v>....1</v>
      </c>
      <c r="T48" s="1961"/>
      <c r="U48" s="300"/>
      <c r="V48" s="751"/>
      <c r="W48" s="1257"/>
      <c r="X48" s="1955"/>
      <c r="Y48" s="1942" t="s">
        <v>70</v>
      </c>
      <c r="Z48" s="1955"/>
      <c r="AA48" s="1942" t="s">
        <v>70</v>
      </c>
      <c r="AB48" s="1964"/>
      <c r="AC48" s="1963" t="s">
        <v>28</v>
      </c>
      <c r="AD48" s="751"/>
      <c r="AE48" s="1257"/>
      <c r="AF48" s="1955"/>
      <c r="AG48" s="1942" t="s">
        <v>70</v>
      </c>
      <c r="AH48" s="1955"/>
      <c r="AI48" s="1942" t="s">
        <v>70</v>
      </c>
      <c r="AJ48" s="1348"/>
      <c r="AK48" s="2253" t="s">
        <v>488</v>
      </c>
      <c r="AL48" s="1636">
        <f>STRCHECKDATE(#REF!)</f>
      </c>
      <c r="AM48" s="1624"/>
      <c r="AN48" s="1624" t="str">
        <f>IF(T48="","",T48)</f>
        <v/>
      </c>
      <c r="AO48" s="1624"/>
      <c r="AP48" s="1624"/>
      <c r="AQ48" s="1631">
        <v>21</v>
      </c>
    </row>
    <row customHeight="1" ht="11.549999999999999">
      <c r="A49" s="1267" t="s">
        <v>214</v>
      </c>
      <c r="B49" s="1267" t="s">
        <v>215</v>
      </c>
      <c r="C49" s="1267" t="s">
        <v>216</v>
      </c>
      <c r="D49" s="1267" t="s">
        <v>217</v>
      </c>
      <c r="E49" s="2290"/>
      <c r="F49" s="2290"/>
      <c r="G49" s="2290"/>
      <c r="H49" s="2290"/>
      <c r="I49" s="2101"/>
      <c r="J49" s="2127"/>
      <c r="K49" s="1267"/>
      <c r="L49" s="1310"/>
      <c r="P49" s="2257"/>
      <c r="Q49" s="2257"/>
      <c r="R49" s="356"/>
      <c r="S49" s="1278"/>
      <c r="T49" s="287" t="s">
        <v>476</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214</v>
      </c>
      <c r="B50" s="1375" t="s">
        <v>215</v>
      </c>
      <c r="C50" s="1375" t="s">
        <v>216</v>
      </c>
      <c r="D50" s="1375" t="s">
        <v>217</v>
      </c>
      <c r="E50" s="2290"/>
      <c r="F50" s="2290"/>
      <c r="G50" s="2290"/>
      <c r="H50" s="2290"/>
      <c r="I50" s="2127"/>
      <c r="J50" s="1375"/>
      <c r="K50" s="1375"/>
      <c r="L50" s="1381"/>
      <c r="M50" s="1246"/>
      <c r="N50" s="1246"/>
      <c r="O50" s="1246"/>
      <c r="P50" s="2257"/>
      <c r="Q50" s="1954"/>
      <c r="R50" s="356"/>
      <c r="S50" s="1386"/>
      <c r="T50" s="1387" t="s">
        <v>420</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214</v>
      </c>
      <c r="B51" s="1375" t="s">
        <v>215</v>
      </c>
      <c r="C51" s="1375" t="s">
        <v>216</v>
      </c>
      <c r="D51" s="1375" t="s">
        <v>217</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214</v>
      </c>
      <c r="B52" s="1375" t="s">
        <v>215</v>
      </c>
      <c r="C52" s="1375" t="s">
        <v>216</v>
      </c>
      <c r="D52" s="1374"/>
      <c r="E52" s="2290"/>
      <c r="F52" s="2290"/>
      <c r="G52" s="2289"/>
      <c r="H52" s="1374"/>
      <c r="I52" s="1374"/>
      <c r="J52" s="1374"/>
      <c r="K52" s="1374"/>
      <c r="L52" s="1377"/>
      <c r="M52" s="1378"/>
      <c r="N52" s="1378"/>
      <c r="O52" s="351"/>
      <c r="P52" s="1316"/>
      <c r="Q52" s="1317"/>
      <c r="R52" s="1316"/>
      <c r="S52" s="1322"/>
      <c r="T52" s="1325" t="s">
        <v>172</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214</v>
      </c>
      <c r="B53" s="1375" t="s">
        <v>215</v>
      </c>
      <c r="C53" s="1374"/>
      <c r="D53" s="1374"/>
      <c r="E53" s="2290"/>
      <c r="F53" s="2289"/>
      <c r="G53" s="1374"/>
      <c r="H53" s="1374"/>
      <c r="I53" s="1374"/>
      <c r="J53" s="1374"/>
      <c r="K53" s="1374"/>
      <c r="L53" s="1377"/>
      <c r="M53" s="1379"/>
      <c r="N53" s="1379"/>
      <c r="O53" s="351"/>
      <c r="P53" s="1316"/>
      <c r="Q53" s="1317"/>
      <c r="R53" s="1316"/>
      <c r="S53" s="1322"/>
      <c r="T53" s="1325" t="s">
        <v>173</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214</v>
      </c>
      <c r="B54" s="1375"/>
      <c r="C54" s="1375"/>
      <c r="D54" s="1375"/>
      <c r="E54" s="2290"/>
      <c r="F54" s="1375"/>
      <c r="G54" s="1375"/>
      <c r="H54" s="1375"/>
      <c r="I54" s="1375"/>
      <c r="J54" s="1375"/>
      <c r="K54" s="1375"/>
      <c r="L54" s="1381"/>
      <c r="M54" s="1379"/>
      <c r="N54" s="1379"/>
      <c r="O54" s="351"/>
      <c r="P54" s="380"/>
      <c r="Q54" s="1344"/>
      <c r="R54" s="380"/>
      <c r="S54" s="1322"/>
      <c r="T54" s="1325" t="s">
        <v>174</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214</v>
      </c>
      <c r="B55" s="1375"/>
      <c r="C55" s="1375"/>
      <c r="D55" s="1375"/>
      <c r="E55" s="2289"/>
      <c r="F55" s="1375"/>
      <c r="G55" s="1375"/>
      <c r="H55" s="1375"/>
      <c r="I55" s="1375"/>
      <c r="J55" s="1375"/>
      <c r="K55" s="1375"/>
      <c r="L55" s="1381"/>
      <c r="M55" s="1379"/>
      <c r="N55" s="1379"/>
      <c r="O55" s="351"/>
      <c r="P55" s="380"/>
      <c r="Q55" s="1344"/>
      <c r="R55" s="380"/>
      <c r="S55" s="1322"/>
      <c r="T55" s="1325" t="s">
        <v>174</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175</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86</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F856F8-5F68-CC3E-3269-E0D77AA7E40F}"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127</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405</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406</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489</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490</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410</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411</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70</v>
      </c>
      <c r="AB8" s="1734"/>
      <c r="AC8" s="1459" t="s">
        <v>70</v>
      </c>
      <c r="AD8" s="2185" t="s">
        <v>70</v>
      </c>
      <c r="AE8" s="2326"/>
      <c r="AF8" s="2205">
        <v>1</v>
      </c>
      <c r="AG8" s="2363"/>
      <c r="AH8" s="2107" t="s">
        <v>70</v>
      </c>
      <c r="AI8" s="2326"/>
      <c r="AJ8" s="2205">
        <v>1</v>
      </c>
      <c r="AK8" s="2327" t="s">
        <v>28</v>
      </c>
      <c r="AL8" s="2107" t="s">
        <v>70</v>
      </c>
      <c r="AM8" s="2192"/>
      <c r="AN8" s="2205">
        <v>1</v>
      </c>
      <c r="AO8" s="2357"/>
      <c r="AP8" s="2358" t="s">
        <v>70</v>
      </c>
      <c r="AQ8" s="311"/>
      <c r="AR8" s="1463">
        <v>1</v>
      </c>
      <c r="AS8" s="1466" t="s">
        <v>28</v>
      </c>
      <c r="AT8" s="751"/>
      <c r="AU8" s="1257"/>
      <c r="AV8" s="751"/>
      <c r="AW8" s="1257"/>
      <c r="AX8" s="1734"/>
      <c r="AY8" s="1459" t="s">
        <v>70</v>
      </c>
      <c r="AZ8" s="1734"/>
      <c r="BA8" s="1459" t="s">
        <v>70</v>
      </c>
      <c r="BB8" s="1348"/>
      <c r="BC8" s="2253" t="s">
        <v>509</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510</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511</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512</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513</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476</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173</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174</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70</v>
      </c>
      <c r="AZ20" s="1736"/>
      <c r="BA20" s="1460" t="s">
        <v>70</v>
      </c>
      <c r="BI20" s="1155">
        <v>0</v>
      </c>
    </row>
    <row customHeight="1" ht="14.25" hidden="1">
      <c r="BD21" s="496"/>
      <c r="BE21" s="496"/>
      <c r="BF21" s="496"/>
      <c r="BG21" s="496"/>
      <c r="BH21" s="496"/>
      <c r="BI21" s="1155">
        <v>0</v>
      </c>
    </row>
    <row customHeight="1" ht="14.25" hidden="1">
      <c r="O22" s="1367" t="s">
        <v>422</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423</v>
      </c>
      <c r="P24" s="1508"/>
      <c r="Q24" s="1510"/>
      <c r="R24" s="1510"/>
      <c r="AA24" s="1507" t="s">
        <v>425</v>
      </c>
      <c r="AC24" s="1507" t="s">
        <v>426</v>
      </c>
      <c r="AD24" s="1507" t="s">
        <v>477</v>
      </c>
      <c r="AH24" s="1507" t="s">
        <v>477</v>
      </c>
      <c r="AK24" s="1507" t="s">
        <v>514</v>
      </c>
      <c r="AL24" s="1507" t="s">
        <v>477</v>
      </c>
      <c r="AP24" s="1507" t="s">
        <v>477</v>
      </c>
      <c r="AY24" s="1507" t="s">
        <v>425</v>
      </c>
      <c r="BA24" s="1507" t="s">
        <v>426</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ООО "Энерго-Сервис"</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Комитет по тарифам и ценам Курской области</v>
      </c>
      <c r="W31" s="2251"/>
      <c r="X31" s="2251"/>
      <c r="Y31" s="2251"/>
      <c r="Z31" s="2251"/>
      <c r="AA31" s="2251"/>
      <c r="AB31" s="2251"/>
      <c r="AC31" s="326"/>
      <c r="AD31" s="2251" t="str">
        <f>IF(TITLE_NAME_OR_PR_CHANGE="",IF(TITLE_NAME_OR_PR="","",TITLE_NAME_OR_PR),TITLE_NAME_OR_PR_CHANGE)</f>
        <v>Комитет по тарифам и ценам Курской области</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428</v>
      </c>
      <c r="T32" s="2250"/>
      <c r="U32" s="1372"/>
      <c r="V32" s="2264" t="str">
        <f>IF(TITLE_DATE_PR_CHANGE="",IF(TITLE_DATE_PR="","",TITLE_DATE_PR),TITLE_DATE_PR_CHANGE)</f>
        <v>46010</v>
      </c>
      <c r="W32" s="2264"/>
      <c r="X32" s="2264"/>
      <c r="Y32" s="2264"/>
      <c r="Z32" s="2264"/>
      <c r="AA32" s="2264"/>
      <c r="AB32" s="2264"/>
      <c r="AC32" s="326"/>
      <c r="AD32" s="2264" t="str">
        <f>IF(TITLE_DATE_PR_CHANGE="",IF(TITLE_DATE_PR="","",TITLE_DATE_PR),TITLE_DATE_PR_CHANGE)</f>
        <v>46010</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429</v>
      </c>
      <c r="T33" s="2250"/>
      <c r="U33" s="1372"/>
      <c r="V33" s="2251" t="str">
        <f>IF(TITLE_NUMBER_PR_CHANGE="",IF(TITLE_NUMBER_PR="","",TITLE_NUMBER_PR),TITLE_NUMBER_PR_CHANGE)</f>
        <v>66</v>
      </c>
      <c r="W33" s="2251"/>
      <c r="X33" s="2251"/>
      <c r="Y33" s="2251"/>
      <c r="Z33" s="2251"/>
      <c r="AA33" s="2251"/>
      <c r="AB33" s="2251"/>
      <c r="AC33" s="326"/>
      <c r="AD33" s="2251" t="str">
        <f>IF(TITLE_NUMBER_PR_CHANGE="",IF(TITLE_NUMBER_PR="","",TITLE_NUMBER_PR),TITLE_NUMBER_PR_CHANGE)</f>
        <v>66</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c r="A34" s="1368"/>
      <c r="B34" s="1368"/>
      <c r="C34" s="1368"/>
      <c r="D34" s="1368"/>
      <c r="E34" s="1368"/>
      <c r="F34" s="1368"/>
      <c r="G34" s="1368"/>
      <c r="H34" s="1368"/>
      <c r="I34" s="1368"/>
      <c r="J34" s="1368"/>
      <c r="K34" s="1368"/>
      <c r="L34" s="1369"/>
      <c r="M34" s="1368"/>
      <c r="N34" s="1368"/>
      <c r="O34" s="1368"/>
      <c r="P34" s="1368"/>
      <c r="Q34" s="1368"/>
      <c r="S34" s="2250" t="s">
        <v>44</v>
      </c>
      <c r="T34" s="2250"/>
      <c r="U34" s="1372"/>
      <c r="V34" s="2251" t="str">
        <f>IF(TITLE_IST_PUB_CHANGE="",IF(TITLE_IST_PUB="","",TITLE_IST_PUB),TITLE_IST_PUB_CHANGE)</f>
        <v>https://kurskpravo.ru/accepted-npa-prewev/2528</v>
      </c>
      <c r="W34" s="2251"/>
      <c r="X34" s="2251"/>
      <c r="Y34" s="2251"/>
      <c r="Z34" s="2251"/>
      <c r="AA34" s="2251"/>
      <c r="AB34" s="2251"/>
      <c r="AC34" s="326"/>
      <c r="AD34" s="2251" t="str">
        <f>IF(TITLE_IST_PUB_CHANGE="",IF(TITLE_IST_PUB="","",TITLE_IST_PUB),TITLE_IST_PUB_CHANGE)</f>
        <v>https://kurskpravo.ru/accepted-npa-prewev/2528</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428</v>
      </c>
      <c r="T36" s="2250"/>
      <c r="U36" s="1372"/>
      <c r="V36" s="2264" t="str">
        <f>IF(TITLE_DATE_PR_CHANGE="",IF(TITLE_DATE_PR="","",TITLE_DATE_PR),TITLE_DATE_PR_CHANGE)</f>
        <v>46010</v>
      </c>
      <c r="W36" s="2264"/>
      <c r="X36" s="2264"/>
      <c r="Y36" s="2264"/>
      <c r="Z36" s="2264"/>
      <c r="AA36" s="2264"/>
      <c r="AB36" s="2264"/>
      <c r="AC36" s="326"/>
      <c r="AD36" s="2264" t="str">
        <f>IF(TITLE_DATE_PR_CHANGE="",IF(TITLE_DATE_PR="","",TITLE_DATE_PR),TITLE_DATE_PR_CHANGE)</f>
        <v>46010</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429</v>
      </c>
      <c r="T37" s="2250"/>
      <c r="U37" s="1372"/>
      <c r="V37" s="2251" t="str">
        <f>IF(TITLE_NUMBER_PR_CHANGE="",IF(TITLE_NUMBER_PR="","",TITLE_NUMBER_PR),TITLE_NUMBER_PR_CHANGE)</f>
        <v>66</v>
      </c>
      <c r="W37" s="2251"/>
      <c r="X37" s="2251"/>
      <c r="Y37" s="2251"/>
      <c r="Z37" s="2251"/>
      <c r="AA37" s="2251"/>
      <c r="AB37" s="2251"/>
      <c r="AC37" s="326"/>
      <c r="AD37" s="2251" t="str">
        <f>IF(TITLE_NUMBER_PR_CHANGE="",IF(TITLE_NUMBER_PR="","",TITLE_NUMBER_PR),TITLE_NUMBER_PR_CHANGE)</f>
        <v>66</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432</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432</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308</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309</v>
      </c>
      <c r="BI40" s="1155">
        <v>14</v>
      </c>
    </row>
    <row customHeight="1" ht="14.699999999999998">
      <c r="Q41" s="291"/>
      <c r="R41" s="376"/>
      <c r="S41" s="2273" t="s">
        <v>92</v>
      </c>
      <c r="T41" s="2209" t="s">
        <v>515</v>
      </c>
      <c r="U41" s="301"/>
      <c r="V41" s="2274" t="s">
        <v>434</v>
      </c>
      <c r="W41" s="2275"/>
      <c r="X41" s="2275"/>
      <c r="Y41" s="2275"/>
      <c r="Z41" s="2275"/>
      <c r="AA41" s="2275"/>
      <c r="AB41" s="2276"/>
      <c r="AC41" s="2277" t="s">
        <v>435</v>
      </c>
      <c r="AD41" s="2328" t="s">
        <v>516</v>
      </c>
      <c r="AE41" s="2291"/>
      <c r="AF41" s="2291"/>
      <c r="AG41" s="2329"/>
      <c r="AH41" s="2328" t="s">
        <v>517</v>
      </c>
      <c r="AI41" s="2291"/>
      <c r="AJ41" s="2291"/>
      <c r="AK41" s="2329"/>
      <c r="AL41" s="2328" t="s">
        <v>518</v>
      </c>
      <c r="AM41" s="2291"/>
      <c r="AN41" s="2291"/>
      <c r="AO41" s="2329"/>
      <c r="AP41" s="2328" t="s">
        <v>519</v>
      </c>
      <c r="AQ41" s="2291"/>
      <c r="AR41" s="2291"/>
      <c r="AS41" s="2329"/>
      <c r="AT41" s="2274" t="s">
        <v>434</v>
      </c>
      <c r="AU41" s="2275"/>
      <c r="AV41" s="2275"/>
      <c r="AW41" s="2275"/>
      <c r="AX41" s="2275"/>
      <c r="AY41" s="2275"/>
      <c r="AZ41" s="2276"/>
      <c r="BA41" s="2277" t="s">
        <v>435</v>
      </c>
      <c r="BB41" s="2280" t="s">
        <v>437</v>
      </c>
      <c r="BC41" s="2127"/>
      <c r="BI41" s="1155">
        <v>14</v>
      </c>
    </row>
    <row customHeight="1" ht="35.699999999999996">
      <c r="Q42" s="291"/>
      <c r="R42" s="376"/>
      <c r="S42" s="2273"/>
      <c r="T42" s="2209"/>
      <c r="U42" s="1031"/>
      <c r="V42" s="2192" t="s">
        <v>520</v>
      </c>
      <c r="W42" s="2193"/>
      <c r="X42" s="2192" t="s">
        <v>521</v>
      </c>
      <c r="Y42" s="2193"/>
      <c r="Z42" s="2294" t="s">
        <v>522</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520</v>
      </c>
      <c r="AU42" s="2193"/>
      <c r="AV42" s="2192" t="s">
        <v>521</v>
      </c>
      <c r="AW42" s="2193"/>
      <c r="AX42" s="2294" t="s">
        <v>522</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139</v>
      </c>
      <c r="C44" s="1370" t="s">
        <v>140</v>
      </c>
      <c r="D44" s="1370" t="s">
        <v>141</v>
      </c>
      <c r="E44" s="1364" t="s">
        <v>442</v>
      </c>
      <c r="F44" s="1364" t="s">
        <v>443</v>
      </c>
      <c r="G44" s="1364" t="s">
        <v>444</v>
      </c>
      <c r="H44" s="1364" t="s">
        <v>445</v>
      </c>
      <c r="I44" s="1364" t="s">
        <v>446</v>
      </c>
      <c r="J44" s="1364" t="s">
        <v>447</v>
      </c>
      <c r="K44" s="1364" t="s">
        <v>448</v>
      </c>
      <c r="L44" s="1364" t="s">
        <v>423</v>
      </c>
      <c r="Q44" s="291"/>
      <c r="R44" s="376"/>
      <c r="S44" s="2273"/>
      <c r="T44" s="2209"/>
      <c r="U44" s="302"/>
      <c r="V44" s="1448" t="s">
        <v>486</v>
      </c>
      <c r="W44" s="1448" t="s">
        <v>487</v>
      </c>
      <c r="X44" s="1448" t="s">
        <v>486</v>
      </c>
      <c r="Y44" s="1448" t="s">
        <v>487</v>
      </c>
      <c r="Z44" s="1455" t="s">
        <v>451</v>
      </c>
      <c r="AA44" s="2270" t="s">
        <v>452</v>
      </c>
      <c r="AB44" s="2271"/>
      <c r="AC44" s="2279"/>
      <c r="AD44" s="2333"/>
      <c r="AE44" s="2334"/>
      <c r="AF44" s="2334"/>
      <c r="AG44" s="2335"/>
      <c r="AH44" s="2333"/>
      <c r="AI44" s="2334"/>
      <c r="AJ44" s="2334"/>
      <c r="AK44" s="2335"/>
      <c r="AL44" s="2333"/>
      <c r="AM44" s="2334"/>
      <c r="AN44" s="2334"/>
      <c r="AO44" s="2335"/>
      <c r="AP44" s="2333"/>
      <c r="AQ44" s="2334"/>
      <c r="AR44" s="2334"/>
      <c r="AS44" s="2335"/>
      <c r="AT44" s="1448" t="s">
        <v>486</v>
      </c>
      <c r="AU44" s="1448" t="s">
        <v>487</v>
      </c>
      <c r="AV44" s="1448" t="s">
        <v>486</v>
      </c>
      <c r="AW44" s="1448" t="s">
        <v>487</v>
      </c>
      <c r="AX44" s="1455" t="s">
        <v>451</v>
      </c>
      <c r="AY44" s="2270" t="s">
        <v>452</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113</v>
      </c>
      <c r="T45" s="1255" t="s">
        <v>114</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254</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127</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254</v>
      </c>
      <c r="B47" s="1363" t="s">
        <v>255</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405</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406</v>
      </c>
      <c r="BE47" s="500"/>
      <c r="BF47" s="500" t="str">
        <f>IF(T47="","",T47)</f>
        <v>Территория действия тарифа</v>
      </c>
      <c r="BG47" s="500"/>
      <c r="BH47" s="500"/>
      <c r="BI47" s="1155">
        <v>21</v>
      </c>
    </row>
    <row customHeight="1" ht="43.050000000000004">
      <c r="A48" s="1363" t="s">
        <v>254</v>
      </c>
      <c r="B48" s="1363" t="s">
        <v>255</v>
      </c>
      <c r="C48" s="1363" t="s">
        <v>256</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489</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490</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254</v>
      </c>
      <c r="B49" s="1343" t="s">
        <v>255</v>
      </c>
      <c r="C49" s="1343" t="s">
        <v>256</v>
      </c>
      <c r="D49" s="1343" t="s">
        <v>523</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410</v>
      </c>
      <c r="BE49" s="500"/>
      <c r="BF49" s="500" t="str">
        <f>IF(T49="","",T49)</f>
        <v/>
      </c>
      <c r="BG49" s="500"/>
      <c r="BH49" s="500"/>
      <c r="BI49" s="511">
        <v>0</v>
      </c>
    </row>
    <row s="1642" customFormat="1" customHeight="1" ht="0">
      <c r="A50" s="1343" t="s">
        <v>254</v>
      </c>
      <c r="B50" s="1343" t="s">
        <v>255</v>
      </c>
      <c r="C50" s="1343" t="s">
        <v>256</v>
      </c>
      <c r="D50" s="1343" t="s">
        <v>523</v>
      </c>
      <c r="E50" s="2259"/>
      <c r="F50" s="2259"/>
      <c r="G50" s="2259"/>
      <c r="H50" s="2259"/>
      <c r="I50" s="2256" t="str">
        <f>S49&amp;".1"</f>
        <v>.1</v>
      </c>
      <c r="J50" s="1343"/>
      <c r="K50" s="1343"/>
      <c r="L50" s="1346" t="s">
        <v>411</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254</v>
      </c>
      <c r="B51" s="1343" t="s">
        <v>255</v>
      </c>
      <c r="C51" s="1343" t="s">
        <v>256</v>
      </c>
      <c r="D51" s="1343" t="s">
        <v>523</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254</v>
      </c>
      <c r="B52" s="1363" t="s">
        <v>255</v>
      </c>
      <c r="C52" s="1363" t="s">
        <v>256</v>
      </c>
      <c r="D52" s="1363" t="s">
        <v>523</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70</v>
      </c>
      <c r="AB52" s="1734"/>
      <c r="AC52" s="1459" t="s">
        <v>70</v>
      </c>
      <c r="AD52" s="2185" t="s">
        <v>70</v>
      </c>
      <c r="AE52" s="2326"/>
      <c r="AF52" s="2205">
        <v>1</v>
      </c>
      <c r="AG52" s="2363"/>
      <c r="AH52" s="2107" t="s">
        <v>70</v>
      </c>
      <c r="AI52" s="2326"/>
      <c r="AJ52" s="2205">
        <v>1</v>
      </c>
      <c r="AK52" s="2327" t="s">
        <v>28</v>
      </c>
      <c r="AL52" s="2107" t="s">
        <v>70</v>
      </c>
      <c r="AM52" s="2192"/>
      <c r="AN52" s="2205">
        <v>1</v>
      </c>
      <c r="AO52" s="2357"/>
      <c r="AP52" s="2358" t="s">
        <v>70</v>
      </c>
      <c r="AQ52" s="311"/>
      <c r="AR52" s="1463">
        <v>1</v>
      </c>
      <c r="AS52" s="1466" t="s">
        <v>28</v>
      </c>
      <c r="AT52" s="751"/>
      <c r="AU52" s="1257"/>
      <c r="AV52" s="751"/>
      <c r="AW52" s="1257"/>
      <c r="AX52" s="1734"/>
      <c r="AY52" s="1459" t="s">
        <v>70</v>
      </c>
      <c r="AZ52" s="1734"/>
      <c r="BA52" s="1459" t="s">
        <v>70</v>
      </c>
      <c r="BB52" s="1348"/>
      <c r="BC52" s="2253" t="s">
        <v>509</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510</v>
      </c>
      <c r="AT53" s="1393"/>
      <c r="AU53" s="1496"/>
      <c r="AV53" s="1393"/>
      <c r="AW53" s="1496"/>
      <c r="AX53" s="1393"/>
      <c r="AY53" s="1393"/>
      <c r="AZ53" s="1393"/>
      <c r="BA53" s="1393"/>
      <c r="BB53" s="1397"/>
      <c r="BC53" s="2254"/>
      <c r="BE53" s="500"/>
      <c r="BF53" s="500"/>
      <c r="BG53" s="500"/>
      <c r="BH53" s="500"/>
      <c r="BI53" s="1155">
        <v>11</v>
      </c>
    </row>
    <row customHeight="1" ht="11.549999999999999">
      <c r="A54" s="1363" t="s">
        <v>254</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511</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254</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512</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254</v>
      </c>
      <c r="B56" s="1363" t="s">
        <v>255</v>
      </c>
      <c r="C56" s="1363" t="s">
        <v>256</v>
      </c>
      <c r="D56" s="1363" t="s">
        <v>523</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513</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254</v>
      </c>
      <c r="B57" s="1363" t="s">
        <v>255</v>
      </c>
      <c r="C57" s="1363" t="s">
        <v>256</v>
      </c>
      <c r="D57" s="1363" t="s">
        <v>523</v>
      </c>
      <c r="E57" s="2259"/>
      <c r="F57" s="2259"/>
      <c r="G57" s="2259"/>
      <c r="H57" s="2259"/>
      <c r="I57" s="2286"/>
      <c r="J57" s="2256"/>
      <c r="K57" s="1363"/>
      <c r="L57" s="1364"/>
      <c r="P57" s="2257"/>
      <c r="Q57" s="2257"/>
      <c r="R57" s="356"/>
      <c r="S57" s="1278"/>
      <c r="T57" s="287" t="s">
        <v>476</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254</v>
      </c>
      <c r="B58" s="1343" t="s">
        <v>255</v>
      </c>
      <c r="C58" s="1343" t="s">
        <v>256</v>
      </c>
      <c r="D58" s="1343" t="s">
        <v>523</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254</v>
      </c>
      <c r="B59" s="1343" t="s">
        <v>255</v>
      </c>
      <c r="C59" s="1343" t="s">
        <v>256</v>
      </c>
      <c r="D59" s="1343" t="s">
        <v>523</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254</v>
      </c>
      <c r="B60" s="1343" t="s">
        <v>255</v>
      </c>
      <c r="C60" s="1343" t="s">
        <v>256</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254</v>
      </c>
      <c r="B61" s="1343" t="s">
        <v>255</v>
      </c>
      <c r="C61" s="1314"/>
      <c r="D61" s="1314"/>
      <c r="E61" s="2259"/>
      <c r="F61" s="2258"/>
      <c r="G61" s="1314"/>
      <c r="H61" s="1314"/>
      <c r="I61" s="1314"/>
      <c r="J61" s="1314"/>
      <c r="K61" s="1314"/>
      <c r="L61" s="1464"/>
      <c r="M61" s="1321"/>
      <c r="N61" s="1321"/>
      <c r="P61" s="1316"/>
      <c r="Q61" s="1317"/>
      <c r="R61" s="1316"/>
      <c r="S61" s="1322"/>
      <c r="T61" s="1325" t="s">
        <v>173</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254</v>
      </c>
      <c r="B62" s="1343"/>
      <c r="C62" s="1343"/>
      <c r="D62" s="1343"/>
      <c r="E62" s="2258"/>
      <c r="F62" s="1343"/>
      <c r="G62" s="1343"/>
      <c r="H62" s="1343"/>
      <c r="I62" s="1343"/>
      <c r="J62" s="1343"/>
      <c r="K62" s="1343"/>
      <c r="L62" s="1346"/>
      <c r="M62" s="1321"/>
      <c r="N62" s="1321"/>
      <c r="O62" s="518"/>
      <c r="P62" s="380"/>
      <c r="Q62" s="1344"/>
      <c r="R62" s="380"/>
      <c r="S62" s="1322"/>
      <c r="T62" s="1325" t="s">
        <v>174</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175</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86</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E11198-5EF8-7AE7-4718-3B23710FE82D}"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127</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405</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406</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524</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525</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491</v>
      </c>
      <c r="U5" s="300"/>
      <c r="V5" s="2350"/>
      <c r="W5" s="2351"/>
      <c r="X5" s="2351"/>
      <c r="Y5" s="2351"/>
      <c r="Z5" s="2351"/>
      <c r="AA5" s="2351"/>
      <c r="AB5" s="2352"/>
      <c r="AC5" s="2353"/>
      <c r="AD5" s="2354"/>
      <c r="AE5" s="2354"/>
      <c r="AF5" s="2354"/>
      <c r="AG5" s="2354"/>
      <c r="AH5" s="2354"/>
      <c r="AI5" s="2354"/>
      <c r="AJ5" s="2355"/>
      <c r="AK5" s="1258" t="s">
        <v>492</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414</v>
      </c>
      <c r="P6" s="2257"/>
      <c r="Q6" s="2257">
        <v>1</v>
      </c>
      <c r="R6" s="357"/>
      <c r="S6" s="1493">
        <f>$J6</f>
      </c>
      <c r="T6" s="286" t="s">
        <v>415</v>
      </c>
      <c r="U6" s="300"/>
      <c r="V6" s="2245"/>
      <c r="W6" s="2246"/>
      <c r="X6" s="2246"/>
      <c r="Y6" s="2246"/>
      <c r="Z6" s="2246"/>
      <c r="AA6" s="2246"/>
      <c r="AB6" s="2247"/>
      <c r="AC6" s="2245"/>
      <c r="AD6" s="2246"/>
      <c r="AE6" s="2246"/>
      <c r="AF6" s="2246"/>
      <c r="AG6" s="2246"/>
      <c r="AH6" s="2246"/>
      <c r="AI6" s="2246"/>
      <c r="AJ6" s="2247"/>
      <c r="AK6" s="1307" t="s">
        <v>493</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70</v>
      </c>
      <c r="AA7" s="2265"/>
      <c r="AB7" s="2107" t="s">
        <v>70</v>
      </c>
      <c r="AC7" s="751"/>
      <c r="AD7" s="751"/>
      <c r="AE7" s="1257"/>
      <c r="AF7" s="2265"/>
      <c r="AG7" s="2107" t="s">
        <v>70</v>
      </c>
      <c r="AH7" s="2287"/>
      <c r="AI7" s="2107" t="s">
        <v>70</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494</v>
      </c>
      <c r="U9" s="367"/>
      <c r="V9" s="367"/>
      <c r="W9" s="367"/>
      <c r="X9" s="367"/>
      <c r="Y9" s="367"/>
      <c r="Z9" s="367"/>
      <c r="AA9" s="367"/>
      <c r="AB9" s="367"/>
      <c r="AC9" s="367"/>
      <c r="AD9" s="367"/>
      <c r="AE9" s="367"/>
      <c r="AF9" s="367"/>
      <c r="AG9" s="367"/>
      <c r="AH9" s="367"/>
      <c r="AI9" s="367"/>
      <c r="AJ9" s="367"/>
      <c r="AK9" s="1258" t="s">
        <v>495</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420</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496</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173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174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70</v>
      </c>
      <c r="AH15" s="2267"/>
      <c r="AI15" s="2268" t="s">
        <v>70</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422</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423</v>
      </c>
      <c r="P20" s="1362"/>
      <c r="Q20" s="1442"/>
      <c r="R20" s="1442"/>
      <c r="S20" s="729"/>
      <c r="T20" s="1160" t="s">
        <v>424</v>
      </c>
      <c r="Z20" s="186" t="s">
        <v>425</v>
      </c>
      <c r="AB20" s="186" t="s">
        <v>426</v>
      </c>
      <c r="AC20" s="1160" t="s">
        <v>424</v>
      </c>
      <c r="AG20" s="186" t="s">
        <v>427</v>
      </c>
      <c r="AI20" s="186" t="s">
        <v>426</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ООО "Энерго-Сервис"</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тарифам и ценам Курской области</v>
      </c>
      <c r="W27" s="2251"/>
      <c r="X27" s="2251"/>
      <c r="Y27" s="2251"/>
      <c r="Z27" s="2251"/>
      <c r="AA27" s="2251"/>
      <c r="AB27" s="326"/>
      <c r="AC27" s="2251" t="str">
        <f>IF(TITLE_NAME_OR_PR_CHANGE="",IF(TITLE_NAME_OR_PR="","",TITLE_NAME_OR_PR),TITLE_NAME_OR_PR_CHANGE)</f>
        <v>Комитет по тарифам и ценам Курской области</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428</v>
      </c>
      <c r="T28" s="2250"/>
      <c r="U28" s="1372"/>
      <c r="V28" s="2264" t="str">
        <f>IF(TITLE_DATE_PR_CHANGE="",IF(TITLE_DATE_PR="","",TITLE_DATE_PR),TITLE_DATE_PR_CHANGE)</f>
        <v>46010</v>
      </c>
      <c r="W28" s="2264"/>
      <c r="X28" s="2264"/>
      <c r="Y28" s="2264"/>
      <c r="Z28" s="2264"/>
      <c r="AA28" s="2264"/>
      <c r="AB28" s="326"/>
      <c r="AC28" s="2264" t="str">
        <f>IF(TITLE_DATE_PR_CHANGE="",IF(TITLE_DATE_PR="","",TITLE_DATE_PR),TITLE_DATE_PR_CHANGE)</f>
        <v>46010</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429</v>
      </c>
      <c r="T29" s="2250"/>
      <c r="U29" s="1372"/>
      <c r="V29" s="2251" t="str">
        <f>IF(TITLE_NUMBER_PR_CHANGE="",IF(TITLE_NUMBER_PR="","",TITLE_NUMBER_PR),TITLE_NUMBER_PR_CHANGE)</f>
        <v>66</v>
      </c>
      <c r="W29" s="2251"/>
      <c r="X29" s="2251"/>
      <c r="Y29" s="2251"/>
      <c r="Z29" s="2251"/>
      <c r="AA29" s="2251"/>
      <c r="AB29" s="326"/>
      <c r="AC29" s="2251" t="str">
        <f>IF(TITLE_NUMBER_PR_CHANGE="",IF(TITLE_NUMBER_PR="","",TITLE_NUMBER_PR),TITLE_NUMBER_PR_CHANGE)</f>
        <v>66</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https://kurskpravo.ru/accepted-npa-prewev/2528</v>
      </c>
      <c r="W30" s="2251"/>
      <c r="X30" s="2251"/>
      <c r="Y30" s="2251"/>
      <c r="Z30" s="2251"/>
      <c r="AA30" s="2251"/>
      <c r="AB30" s="326"/>
      <c r="AC30" s="2251" t="str">
        <f>IF(TITLE_IST_PUB_CHANGE="",IF(TITLE_IST_PUB="","",TITLE_IST_PUB),TITLE_IST_PUB_CHANGE)</f>
        <v>https://kurskpravo.ru/accepted-npa-prewev/2528</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430</v>
      </c>
      <c r="T32" s="2250"/>
      <c r="U32" s="1372"/>
      <c r="V32" s="2264" t="str">
        <f>IF(TITLE_DATE_PR_CHANGE="",IF(TITLE_DATE_PR="","",TITLE_DATE_PR),TITLE_DATE_PR_CHANGE)</f>
        <v>46010</v>
      </c>
      <c r="W32" s="2264"/>
      <c r="X32" s="2264"/>
      <c r="Y32" s="2264"/>
      <c r="Z32" s="2264"/>
      <c r="AA32" s="2264"/>
      <c r="AB32" s="326"/>
      <c r="AC32" s="2264" t="str">
        <f>IF(TITLE_DATE_PR_CHANGE="",IF(TITLE_DATE_PR="","",TITLE_DATE_PR),TITLE_DATE_PR_CHANGE)</f>
        <v>46010</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431</v>
      </c>
      <c r="T33" s="2250"/>
      <c r="U33" s="1372"/>
      <c r="V33" s="2251" t="str">
        <f>IF(TITLE_NUMBER_PR_CHANGE="",IF(TITLE_NUMBER_PR="","",TITLE_NUMBER_PR),TITLE_NUMBER_PR_CHANGE)</f>
        <v>66</v>
      </c>
      <c r="W33" s="2251"/>
      <c r="X33" s="2251"/>
      <c r="Y33" s="2251"/>
      <c r="Z33" s="2251"/>
      <c r="AA33" s="2251"/>
      <c r="AB33" s="326"/>
      <c r="AC33" s="2251" t="str">
        <f>IF(TITLE_NUMBER_PR_CHANGE="",IF(TITLE_NUMBER_PR="","",TITLE_NUMBER_PR),TITLE_NUMBER_PR_CHANGE)</f>
        <v>66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432</v>
      </c>
      <c r="AC34" s="326"/>
      <c r="AD34" s="326"/>
      <c r="AE34" s="326"/>
      <c r="AF34" s="326"/>
      <c r="AG34" s="326"/>
      <c r="AH34" s="326"/>
      <c r="AI34" s="278" t="s">
        <v>432</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308</v>
      </c>
      <c r="T36" s="2127"/>
      <c r="U36" s="2127"/>
      <c r="V36" s="2127"/>
      <c r="W36" s="2127"/>
      <c r="X36" s="2127"/>
      <c r="Y36" s="2127"/>
      <c r="Z36" s="2127"/>
      <c r="AA36" s="2127"/>
      <c r="AB36" s="2127"/>
      <c r="AC36" s="2127"/>
      <c r="AD36" s="2127"/>
      <c r="AE36" s="2127"/>
      <c r="AF36" s="2127"/>
      <c r="AG36" s="2127"/>
      <c r="AH36" s="2127"/>
      <c r="AI36" s="2127"/>
      <c r="AJ36" s="2127"/>
      <c r="AK36" s="2127" t="s">
        <v>309</v>
      </c>
      <c r="AQ36" s="1155">
        <v>14</v>
      </c>
    </row>
    <row customHeight="1" ht="14.699999999999998">
      <c r="Q37" s="376"/>
      <c r="R37" s="376"/>
      <c r="S37" s="2273" t="s">
        <v>92</v>
      </c>
      <c r="T37" s="2209" t="s">
        <v>433</v>
      </c>
      <c r="U37" s="301"/>
      <c r="V37" s="2274" t="s">
        <v>434</v>
      </c>
      <c r="W37" s="2275"/>
      <c r="X37" s="2275"/>
      <c r="Y37" s="2275"/>
      <c r="Z37" s="2275"/>
      <c r="AA37" s="2276"/>
      <c r="AB37" s="2277" t="s">
        <v>435</v>
      </c>
      <c r="AC37" s="2274" t="s">
        <v>434</v>
      </c>
      <c r="AD37" s="2275"/>
      <c r="AE37" s="2275"/>
      <c r="AF37" s="2275"/>
      <c r="AG37" s="2275"/>
      <c r="AH37" s="2276"/>
      <c r="AI37" s="2277" t="s">
        <v>436</v>
      </c>
      <c r="AJ37" s="2280" t="s">
        <v>437</v>
      </c>
      <c r="AK37" s="2127"/>
      <c r="AQ37" s="1155">
        <v>14</v>
      </c>
    </row>
    <row customHeight="1" ht="35.699999999999996">
      <c r="Q38" s="376"/>
      <c r="R38" s="376"/>
      <c r="S38" s="2273"/>
      <c r="T38" s="2209"/>
      <c r="U38" s="1031"/>
      <c r="V38" s="1483" t="s">
        <v>497</v>
      </c>
      <c r="W38" s="2262" t="s">
        <v>440</v>
      </c>
      <c r="X38" s="2263"/>
      <c r="Y38" s="2262" t="s">
        <v>441</v>
      </c>
      <c r="Z38" s="2269"/>
      <c r="AA38" s="2263"/>
      <c r="AB38" s="2278"/>
      <c r="AC38" s="1483" t="s">
        <v>497</v>
      </c>
      <c r="AD38" s="2262" t="s">
        <v>440</v>
      </c>
      <c r="AE38" s="2263"/>
      <c r="AF38" s="2262" t="s">
        <v>441</v>
      </c>
      <c r="AG38" s="2269"/>
      <c r="AH38" s="2263"/>
      <c r="AI38" s="2278"/>
      <c r="AJ38" s="2281"/>
      <c r="AK38" s="2127"/>
      <c r="AQ38" s="1155">
        <v>34</v>
      </c>
    </row>
    <row customHeight="1" ht="90.3">
      <c r="A39" s="1370"/>
      <c r="B39" s="1370" t="s">
        <v>139</v>
      </c>
      <c r="C39" s="1370" t="s">
        <v>140</v>
      </c>
      <c r="D39" s="1370" t="s">
        <v>141</v>
      </c>
      <c r="E39" s="1364" t="s">
        <v>442</v>
      </c>
      <c r="F39" s="1364" t="s">
        <v>443</v>
      </c>
      <c r="G39" s="1364" t="s">
        <v>444</v>
      </c>
      <c r="H39" s="1364"/>
      <c r="I39" s="1364" t="s">
        <v>498</v>
      </c>
      <c r="J39" s="1364" t="s">
        <v>447</v>
      </c>
      <c r="K39" s="1364" t="s">
        <v>499</v>
      </c>
      <c r="L39" s="1364" t="s">
        <v>423</v>
      </c>
      <c r="Q39" s="376"/>
      <c r="R39" s="376"/>
      <c r="S39" s="2273"/>
      <c r="T39" s="2209"/>
      <c r="U39" s="302"/>
      <c r="V39" s="1483" t="s">
        <v>526</v>
      </c>
      <c r="W39" s="1222" t="s">
        <v>527</v>
      </c>
      <c r="X39" s="1222" t="s">
        <v>502</v>
      </c>
      <c r="Y39" s="1489" t="s">
        <v>451</v>
      </c>
      <c r="Z39" s="2270" t="s">
        <v>452</v>
      </c>
      <c r="AA39" s="2271"/>
      <c r="AB39" s="2279"/>
      <c r="AC39" s="1483" t="s">
        <v>526</v>
      </c>
      <c r="AD39" s="1222" t="s">
        <v>527</v>
      </c>
      <c r="AE39" s="1222" t="s">
        <v>502</v>
      </c>
      <c r="AF39" s="1489" t="s">
        <v>451</v>
      </c>
      <c r="AG39" s="2270" t="s">
        <v>452</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113</v>
      </c>
      <c r="T40" s="1255" t="s">
        <v>114</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274</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127</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274</v>
      </c>
      <c r="B42" s="1363" t="s">
        <v>275</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405</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406</v>
      </c>
      <c r="AM42" s="500"/>
      <c r="AN42" s="500" t="str">
        <f>IF(T42="","",T42)</f>
        <v>Территория действия тарифа</v>
      </c>
      <c r="AO42" s="500"/>
      <c r="AP42" s="500"/>
      <c r="AQ42" s="1155">
        <v>23</v>
      </c>
    </row>
    <row customHeight="1" ht="24">
      <c r="A43" s="1363" t="s">
        <v>274</v>
      </c>
      <c r="B43" s="1363" t="s">
        <v>275</v>
      </c>
      <c r="C43" s="1363" t="s">
        <v>276</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524</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525</v>
      </c>
      <c r="AM43" s="500"/>
      <c r="AN43" s="500" t="str">
        <f>IF(T43="","",T43)</f>
        <v>Наименование централизованной системы водоотведения</v>
      </c>
      <c r="AO43" s="500"/>
      <c r="AP43" s="500"/>
      <c r="AQ43" s="1155">
        <v>23</v>
      </c>
    </row>
    <row customHeight="1" ht="24">
      <c r="A44" s="1363" t="s">
        <v>274</v>
      </c>
      <c r="B44" s="1363" t="s">
        <v>275</v>
      </c>
      <c r="C44" s="1363" t="s">
        <v>276</v>
      </c>
      <c r="D44" s="1363" t="s">
        <v>528</v>
      </c>
      <c r="E44" s="2259"/>
      <c r="F44" s="2259"/>
      <c r="G44" s="2259"/>
      <c r="H44" s="2259"/>
      <c r="I44" s="2256" t="str">
        <f>S43&amp;".1"</f>
        <v>...1</v>
      </c>
      <c r="J44" s="1363"/>
      <c r="K44" s="1363"/>
      <c r="L44" s="1364"/>
      <c r="P44" s="2257">
        <v>1</v>
      </c>
      <c r="Q44" s="1481"/>
      <c r="R44" s="356"/>
      <c r="S44" s="1493" t="str">
        <f>$I44</f>
        <v>...1</v>
      </c>
      <c r="T44" s="285" t="s">
        <v>491</v>
      </c>
      <c r="U44" s="300"/>
      <c r="V44" s="2350"/>
      <c r="W44" s="2351"/>
      <c r="X44" s="2351"/>
      <c r="Y44" s="2351"/>
      <c r="Z44" s="2351"/>
      <c r="AA44" s="2351"/>
      <c r="AB44" s="2352"/>
      <c r="AC44" s="2353"/>
      <c r="AD44" s="2354"/>
      <c r="AE44" s="2354"/>
      <c r="AF44" s="2354"/>
      <c r="AG44" s="2354"/>
      <c r="AH44" s="2354"/>
      <c r="AI44" s="2354"/>
      <c r="AJ44" s="2355"/>
      <c r="AK44" s="1258" t="s">
        <v>492</v>
      </c>
      <c r="AM44" s="500"/>
      <c r="AN44" s="500" t="str">
        <f>IF(T44="","",T44)</f>
        <v>Наименование признака дифференциации</v>
      </c>
      <c r="AO44" s="500"/>
      <c r="AP44" s="500"/>
      <c r="AQ44" s="1155">
        <v>23</v>
      </c>
    </row>
    <row customHeight="1" ht="24">
      <c r="A45" s="1363" t="s">
        <v>274</v>
      </c>
      <c r="B45" s="1363" t="s">
        <v>275</v>
      </c>
      <c r="C45" s="1363" t="s">
        <v>276</v>
      </c>
      <c r="D45" s="1363" t="s">
        <v>528</v>
      </c>
      <c r="E45" s="2259"/>
      <c r="F45" s="2259"/>
      <c r="G45" s="2259"/>
      <c r="H45" s="2259"/>
      <c r="I45" s="2286"/>
      <c r="J45" s="2256" t="str">
        <f>I44&amp;".1"</f>
        <v>...1.1</v>
      </c>
      <c r="K45" s="1363"/>
      <c r="L45" s="1364" t="s">
        <v>414</v>
      </c>
      <c r="P45" s="2257"/>
      <c r="Q45" s="2257">
        <v>1</v>
      </c>
      <c r="R45" s="357"/>
      <c r="S45" s="1493" t="str">
        <f>$J45</f>
        <v>...1.1</v>
      </c>
      <c r="T45" s="286" t="s">
        <v>415</v>
      </c>
      <c r="U45" s="300"/>
      <c r="V45" s="2245"/>
      <c r="W45" s="2246"/>
      <c r="X45" s="2246"/>
      <c r="Y45" s="2246"/>
      <c r="Z45" s="2246"/>
      <c r="AA45" s="2246"/>
      <c r="AB45" s="2247"/>
      <c r="AC45" s="2245"/>
      <c r="AD45" s="2246"/>
      <c r="AE45" s="2246"/>
      <c r="AF45" s="2246"/>
      <c r="AG45" s="2246"/>
      <c r="AH45" s="2246"/>
      <c r="AI45" s="2246"/>
      <c r="AJ45" s="2247"/>
      <c r="AK45" s="1307" t="s">
        <v>493</v>
      </c>
      <c r="AM45" s="500"/>
      <c r="AN45" s="500" t="str">
        <f>IF(T45="","",T45)</f>
        <v>Группа потребителей</v>
      </c>
      <c r="AO45" s="500"/>
      <c r="AP45" s="500"/>
      <c r="AQ45" s="1155">
        <v>23</v>
      </c>
    </row>
    <row customHeight="1" ht="24">
      <c r="A46" s="1363" t="s">
        <v>274</v>
      </c>
      <c r="B46" s="1363" t="s">
        <v>275</v>
      </c>
      <c r="C46" s="1363" t="s">
        <v>276</v>
      </c>
      <c r="D46" s="1363" t="s">
        <v>528</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70</v>
      </c>
      <c r="AA46" s="2267"/>
      <c r="AB46" s="2268" t="s">
        <v>70</v>
      </c>
      <c r="AC46" s="751"/>
      <c r="AD46" s="751"/>
      <c r="AE46" s="1257"/>
      <c r="AF46" s="2265"/>
      <c r="AG46" s="2107" t="s">
        <v>70</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274</v>
      </c>
      <c r="B47" s="1363" t="s">
        <v>275</v>
      </c>
      <c r="C47" s="1363" t="s">
        <v>276</v>
      </c>
      <c r="D47" s="1363" t="s">
        <v>528</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274</v>
      </c>
      <c r="B48" s="1363" t="s">
        <v>275</v>
      </c>
      <c r="C48" s="1363" t="s">
        <v>276</v>
      </c>
      <c r="D48" s="1363" t="s">
        <v>528</v>
      </c>
      <c r="E48" s="2259"/>
      <c r="F48" s="2259"/>
      <c r="G48" s="2259"/>
      <c r="H48" s="2259"/>
      <c r="I48" s="2286"/>
      <c r="J48" s="2256"/>
      <c r="K48" s="1363"/>
      <c r="L48" s="1364"/>
      <c r="P48" s="2257"/>
      <c r="Q48" s="2257"/>
      <c r="R48" s="356"/>
      <c r="S48" s="1278"/>
      <c r="T48" s="287" t="s">
        <v>494</v>
      </c>
      <c r="U48" s="367"/>
      <c r="V48" s="367"/>
      <c r="W48" s="367"/>
      <c r="X48" s="367"/>
      <c r="Y48" s="367"/>
      <c r="Z48" s="367"/>
      <c r="AA48" s="367"/>
      <c r="AB48" s="367"/>
      <c r="AC48" s="367"/>
      <c r="AD48" s="367"/>
      <c r="AE48" s="367"/>
      <c r="AF48" s="367"/>
      <c r="AG48" s="367"/>
      <c r="AH48" s="367"/>
      <c r="AI48" s="367"/>
      <c r="AJ48" s="367"/>
      <c r="AK48" s="1258" t="s">
        <v>495</v>
      </c>
      <c r="AM48" s="500"/>
      <c r="AN48" s="500" t="str">
        <f>IF(T48="","",T48)</f>
        <v>Добавить значение признака дифференциации</v>
      </c>
      <c r="AO48" s="500"/>
      <c r="AP48" s="500"/>
      <c r="AQ48" s="1155">
        <v>20</v>
      </c>
    </row>
    <row customHeight="1" ht="22.049999999999997">
      <c r="A49" s="1363" t="s">
        <v>274</v>
      </c>
      <c r="B49" s="1363" t="s">
        <v>275</v>
      </c>
      <c r="C49" s="1363" t="s">
        <v>276</v>
      </c>
      <c r="D49" s="1363" t="s">
        <v>528</v>
      </c>
      <c r="E49" s="2259"/>
      <c r="F49" s="2259"/>
      <c r="G49" s="2259"/>
      <c r="H49" s="2259"/>
      <c r="I49" s="2256"/>
      <c r="J49" s="1363"/>
      <c r="K49" s="1363"/>
      <c r="L49" s="1364"/>
      <c r="P49" s="2257"/>
      <c r="Q49" s="1481"/>
      <c r="R49" s="356"/>
      <c r="S49" s="1278"/>
      <c r="T49" s="365" t="s">
        <v>420</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274</v>
      </c>
      <c r="B50" s="1363" t="s">
        <v>275</v>
      </c>
      <c r="C50" s="1363" t="s">
        <v>276</v>
      </c>
      <c r="D50" s="1363" t="s">
        <v>528</v>
      </c>
      <c r="E50" s="2259"/>
      <c r="F50" s="2259"/>
      <c r="G50" s="2259"/>
      <c r="H50" s="2258"/>
      <c r="I50" s="1363"/>
      <c r="J50" s="1363"/>
      <c r="K50" s="1363"/>
      <c r="L50" s="1364"/>
      <c r="M50" s="1365"/>
      <c r="N50" s="1365"/>
      <c r="O50" s="537"/>
      <c r="P50" s="360"/>
      <c r="Q50" s="375"/>
      <c r="R50" s="355"/>
      <c r="S50" s="1278"/>
      <c r="T50" s="372" t="s">
        <v>496</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274</v>
      </c>
      <c r="B51" s="1343" t="s">
        <v>275</v>
      </c>
      <c r="C51" s="1314"/>
      <c r="D51" s="1314"/>
      <c r="E51" s="2259"/>
      <c r="F51" s="2258"/>
      <c r="G51" s="1314"/>
      <c r="H51" s="1314"/>
      <c r="I51" s="1314"/>
      <c r="J51" s="1314"/>
      <c r="K51" s="1314"/>
      <c r="L51" s="1494"/>
      <c r="M51" s="1321"/>
      <c r="N51" s="1321"/>
      <c r="P51" s="1316"/>
      <c r="Q51" s="1317"/>
      <c r="R51" s="1316"/>
      <c r="S51" s="1322"/>
      <c r="T51" s="1325" t="s">
        <v>173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274</v>
      </c>
      <c r="B52" s="1343"/>
      <c r="C52" s="1343"/>
      <c r="D52" s="1343"/>
      <c r="E52" s="2258"/>
      <c r="F52" s="1343"/>
      <c r="G52" s="1343"/>
      <c r="H52" s="1343"/>
      <c r="I52" s="1343"/>
      <c r="J52" s="1343"/>
      <c r="K52" s="1343"/>
      <c r="L52" s="1346"/>
      <c r="M52" s="1321"/>
      <c r="N52" s="1321"/>
      <c r="O52" s="518"/>
      <c r="P52" s="380"/>
      <c r="Q52" s="1344"/>
      <c r="R52" s="380"/>
      <c r="S52" s="1322"/>
      <c r="T52" s="1325" t="s">
        <v>174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175</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86</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D47B18-79D8-6A82-A898-680CBA4CB45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127</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405</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406</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524</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525</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491</v>
      </c>
      <c r="U5" s="300"/>
      <c r="V5" s="2350"/>
      <c r="W5" s="2351"/>
      <c r="X5" s="2351"/>
      <c r="Y5" s="2351"/>
      <c r="Z5" s="2351"/>
      <c r="AA5" s="2351"/>
      <c r="AB5" s="2352"/>
      <c r="AC5" s="2353"/>
      <c r="AD5" s="2354"/>
      <c r="AE5" s="2354"/>
      <c r="AF5" s="2354"/>
      <c r="AG5" s="2354"/>
      <c r="AH5" s="2354"/>
      <c r="AI5" s="2354"/>
      <c r="AJ5" s="2355"/>
      <c r="AK5" s="1258" t="s">
        <v>492</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414</v>
      </c>
      <c r="P6" s="2257"/>
      <c r="Q6" s="2257">
        <v>1</v>
      </c>
      <c r="R6" s="357"/>
      <c r="S6" s="1493">
        <f>$J6</f>
      </c>
      <c r="T6" s="286" t="s">
        <v>415</v>
      </c>
      <c r="U6" s="300"/>
      <c r="V6" s="2245"/>
      <c r="W6" s="2246"/>
      <c r="X6" s="2246"/>
      <c r="Y6" s="2246"/>
      <c r="Z6" s="2246"/>
      <c r="AA6" s="2246"/>
      <c r="AB6" s="2247"/>
      <c r="AC6" s="2245"/>
      <c r="AD6" s="2246"/>
      <c r="AE6" s="2246"/>
      <c r="AF6" s="2246"/>
      <c r="AG6" s="2246"/>
      <c r="AH6" s="2246"/>
      <c r="AI6" s="2246"/>
      <c r="AJ6" s="2247"/>
      <c r="AK6" s="1307" t="s">
        <v>493</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70</v>
      </c>
      <c r="AA7" s="2265"/>
      <c r="AB7" s="2107" t="s">
        <v>70</v>
      </c>
      <c r="AC7" s="751"/>
      <c r="AD7" s="751"/>
      <c r="AE7" s="1257"/>
      <c r="AF7" s="2265"/>
      <c r="AG7" s="2107" t="s">
        <v>70</v>
      </c>
      <c r="AH7" s="2287"/>
      <c r="AI7" s="2107" t="s">
        <v>70</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494</v>
      </c>
      <c r="U9" s="367"/>
      <c r="V9" s="367"/>
      <c r="W9" s="367"/>
      <c r="X9" s="367"/>
      <c r="Y9" s="367"/>
      <c r="Z9" s="367"/>
      <c r="AA9" s="367"/>
      <c r="AB9" s="367"/>
      <c r="AC9" s="367"/>
      <c r="AD9" s="367"/>
      <c r="AE9" s="367"/>
      <c r="AF9" s="367"/>
      <c r="AG9" s="367"/>
      <c r="AH9" s="367"/>
      <c r="AI9" s="367"/>
      <c r="AJ9" s="367"/>
      <c r="AK9" s="1258" t="s">
        <v>495</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420</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496</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173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174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70</v>
      </c>
      <c r="AH15" s="2267"/>
      <c r="AI15" s="2268" t="s">
        <v>70</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422</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423</v>
      </c>
      <c r="P20" s="1362"/>
      <c r="Q20" s="1442"/>
      <c r="R20" s="1442"/>
      <c r="S20" s="729"/>
      <c r="T20" s="1160" t="s">
        <v>424</v>
      </c>
      <c r="Z20" s="186" t="s">
        <v>425</v>
      </c>
      <c r="AB20" s="186" t="s">
        <v>426</v>
      </c>
      <c r="AC20" s="1160" t="s">
        <v>424</v>
      </c>
      <c r="AG20" s="186" t="s">
        <v>427</v>
      </c>
      <c r="AI20" s="186" t="s">
        <v>426</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ООО "Энерго-Сервис"</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тарифам и ценам Курской области</v>
      </c>
      <c r="W27" s="2251"/>
      <c r="X27" s="2251"/>
      <c r="Y27" s="2251"/>
      <c r="Z27" s="2251"/>
      <c r="AA27" s="2251"/>
      <c r="AB27" s="326"/>
      <c r="AC27" s="2251" t="str">
        <f>IF(TITLE_NAME_OR_PR_CHANGE="",IF(TITLE_NAME_OR_PR="","",TITLE_NAME_OR_PR),TITLE_NAME_OR_PR_CHANGE)</f>
        <v>Комитет по тарифам и ценам Курской области</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428</v>
      </c>
      <c r="T28" s="2250"/>
      <c r="U28" s="1372"/>
      <c r="V28" s="2264" t="str">
        <f>IF(TITLE_DATE_PR_CHANGE="",IF(TITLE_DATE_PR="","",TITLE_DATE_PR),TITLE_DATE_PR_CHANGE)</f>
        <v>46010</v>
      </c>
      <c r="W28" s="2264"/>
      <c r="X28" s="2264"/>
      <c r="Y28" s="2264"/>
      <c r="Z28" s="2264"/>
      <c r="AA28" s="2264"/>
      <c r="AB28" s="326"/>
      <c r="AC28" s="2264" t="str">
        <f>IF(TITLE_DATE_PR_CHANGE="",IF(TITLE_DATE_PR="","",TITLE_DATE_PR),TITLE_DATE_PR_CHANGE)</f>
        <v>46010</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429</v>
      </c>
      <c r="T29" s="2250"/>
      <c r="U29" s="1372"/>
      <c r="V29" s="2251" t="str">
        <f>IF(TITLE_NUMBER_PR_CHANGE="",IF(TITLE_NUMBER_PR="","",TITLE_NUMBER_PR),TITLE_NUMBER_PR_CHANGE)</f>
        <v>66</v>
      </c>
      <c r="W29" s="2251"/>
      <c r="X29" s="2251"/>
      <c r="Y29" s="2251"/>
      <c r="Z29" s="2251"/>
      <c r="AA29" s="2251"/>
      <c r="AB29" s="326"/>
      <c r="AC29" s="2251" t="str">
        <f>IF(TITLE_NUMBER_PR_CHANGE="",IF(TITLE_NUMBER_PR="","",TITLE_NUMBER_PR),TITLE_NUMBER_PR_CHANGE)</f>
        <v>66</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https://kurskpravo.ru/accepted-npa-prewev/2528</v>
      </c>
      <c r="W30" s="2251"/>
      <c r="X30" s="2251"/>
      <c r="Y30" s="2251"/>
      <c r="Z30" s="2251"/>
      <c r="AA30" s="2251"/>
      <c r="AB30" s="326"/>
      <c r="AC30" s="2251" t="str">
        <f>IF(TITLE_IST_PUB_CHANGE="",IF(TITLE_IST_PUB="","",TITLE_IST_PUB),TITLE_IST_PUB_CHANGE)</f>
        <v>https://kurskpravo.ru/accepted-npa-prewev/2528</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430</v>
      </c>
      <c r="T32" s="2250"/>
      <c r="U32" s="1372"/>
      <c r="V32" s="2264" t="str">
        <f>IF(TITLE_DATE_PR_CHANGE="",IF(TITLE_DATE_PR="","",TITLE_DATE_PR),TITLE_DATE_PR_CHANGE)</f>
        <v>46010</v>
      </c>
      <c r="W32" s="2264"/>
      <c r="X32" s="2264"/>
      <c r="Y32" s="2264"/>
      <c r="Z32" s="2264"/>
      <c r="AA32" s="2264"/>
      <c r="AB32" s="326"/>
      <c r="AC32" s="2264" t="str">
        <f>IF(TITLE_DATE_PR_CHANGE="",IF(TITLE_DATE_PR="","",TITLE_DATE_PR),TITLE_DATE_PR_CHANGE)</f>
        <v>46010</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431</v>
      </c>
      <c r="T33" s="2250"/>
      <c r="U33" s="1372"/>
      <c r="V33" s="2251" t="str">
        <f>IF(TITLE_NUMBER_PR_CHANGE="",IF(TITLE_NUMBER_PR="","",TITLE_NUMBER_PR),TITLE_NUMBER_PR_CHANGE)</f>
        <v>66</v>
      </c>
      <c r="W33" s="2251"/>
      <c r="X33" s="2251"/>
      <c r="Y33" s="2251"/>
      <c r="Z33" s="2251"/>
      <c r="AA33" s="2251"/>
      <c r="AB33" s="326"/>
      <c r="AC33" s="2251" t="str">
        <f>IF(TITLE_NUMBER_PR_CHANGE="",IF(TITLE_NUMBER_PR="","",TITLE_NUMBER_PR),TITLE_NUMBER_PR_CHANGE)</f>
        <v>66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432</v>
      </c>
      <c r="AC34" s="326"/>
      <c r="AD34" s="326"/>
      <c r="AE34" s="326"/>
      <c r="AF34" s="326"/>
      <c r="AG34" s="326"/>
      <c r="AH34" s="326"/>
      <c r="AI34" s="278" t="s">
        <v>432</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308</v>
      </c>
      <c r="T36" s="2127"/>
      <c r="U36" s="2127"/>
      <c r="V36" s="2127"/>
      <c r="W36" s="2127"/>
      <c r="X36" s="2127"/>
      <c r="Y36" s="2127"/>
      <c r="Z36" s="2127"/>
      <c r="AA36" s="2127"/>
      <c r="AB36" s="2127"/>
      <c r="AC36" s="2127"/>
      <c r="AD36" s="2127"/>
      <c r="AE36" s="2127"/>
      <c r="AF36" s="2127"/>
      <c r="AG36" s="2127"/>
      <c r="AH36" s="2127"/>
      <c r="AI36" s="2127"/>
      <c r="AJ36" s="2127"/>
      <c r="AK36" s="2127" t="s">
        <v>309</v>
      </c>
      <c r="AQ36" s="1155">
        <v>14</v>
      </c>
    </row>
    <row customHeight="1" ht="14.699999999999998">
      <c r="Q37" s="376"/>
      <c r="R37" s="376"/>
      <c r="S37" s="2273" t="s">
        <v>92</v>
      </c>
      <c r="T37" s="2209" t="s">
        <v>433</v>
      </c>
      <c r="U37" s="301"/>
      <c r="V37" s="2274" t="s">
        <v>434</v>
      </c>
      <c r="W37" s="2275"/>
      <c r="X37" s="2275"/>
      <c r="Y37" s="2275"/>
      <c r="Z37" s="2275"/>
      <c r="AA37" s="2276"/>
      <c r="AB37" s="2277" t="s">
        <v>435</v>
      </c>
      <c r="AC37" s="2274" t="s">
        <v>434</v>
      </c>
      <c r="AD37" s="2275"/>
      <c r="AE37" s="2275"/>
      <c r="AF37" s="2275"/>
      <c r="AG37" s="2275"/>
      <c r="AH37" s="2276"/>
      <c r="AI37" s="2277" t="s">
        <v>436</v>
      </c>
      <c r="AJ37" s="2280" t="s">
        <v>437</v>
      </c>
      <c r="AK37" s="2127"/>
      <c r="AQ37" s="1155">
        <v>14</v>
      </c>
    </row>
    <row customHeight="1" ht="35.699999999999996">
      <c r="Q38" s="376"/>
      <c r="R38" s="376"/>
      <c r="S38" s="2273"/>
      <c r="T38" s="2209"/>
      <c r="U38" s="1031"/>
      <c r="V38" s="1483" t="s">
        <v>497</v>
      </c>
      <c r="W38" s="2262" t="s">
        <v>440</v>
      </c>
      <c r="X38" s="2263"/>
      <c r="Y38" s="2262" t="s">
        <v>441</v>
      </c>
      <c r="Z38" s="2269"/>
      <c r="AA38" s="2263"/>
      <c r="AB38" s="2278"/>
      <c r="AC38" s="1483" t="s">
        <v>497</v>
      </c>
      <c r="AD38" s="2262" t="s">
        <v>440</v>
      </c>
      <c r="AE38" s="2263"/>
      <c r="AF38" s="2262" t="s">
        <v>441</v>
      </c>
      <c r="AG38" s="2269"/>
      <c r="AH38" s="2263"/>
      <c r="AI38" s="2278"/>
      <c r="AJ38" s="2281"/>
      <c r="AK38" s="2127"/>
      <c r="AQ38" s="1155">
        <v>34</v>
      </c>
    </row>
    <row customHeight="1" ht="90.3">
      <c r="A39" s="1370"/>
      <c r="B39" s="1370" t="s">
        <v>139</v>
      </c>
      <c r="C39" s="1370" t="s">
        <v>140</v>
      </c>
      <c r="D39" s="1370" t="s">
        <v>141</v>
      </c>
      <c r="E39" s="1364" t="s">
        <v>442</v>
      </c>
      <c r="F39" s="1364" t="s">
        <v>443</v>
      </c>
      <c r="G39" s="1364" t="s">
        <v>444</v>
      </c>
      <c r="H39" s="1364"/>
      <c r="I39" s="1364" t="s">
        <v>498</v>
      </c>
      <c r="J39" s="1364" t="s">
        <v>447</v>
      </c>
      <c r="K39" s="1364" t="s">
        <v>499</v>
      </c>
      <c r="L39" s="1364" t="s">
        <v>423</v>
      </c>
      <c r="Q39" s="376"/>
      <c r="R39" s="376"/>
      <c r="S39" s="2273"/>
      <c r="T39" s="2209"/>
      <c r="U39" s="302"/>
      <c r="V39" s="1483" t="s">
        <v>526</v>
      </c>
      <c r="W39" s="1222" t="s">
        <v>527</v>
      </c>
      <c r="X39" s="1222" t="s">
        <v>502</v>
      </c>
      <c r="Y39" s="1489" t="s">
        <v>451</v>
      </c>
      <c r="Z39" s="2270" t="s">
        <v>452</v>
      </c>
      <c r="AA39" s="2271"/>
      <c r="AB39" s="2279"/>
      <c r="AC39" s="1483" t="s">
        <v>526</v>
      </c>
      <c r="AD39" s="1222" t="s">
        <v>527</v>
      </c>
      <c r="AE39" s="1222" t="s">
        <v>502</v>
      </c>
      <c r="AF39" s="1489" t="s">
        <v>451</v>
      </c>
      <c r="AG39" s="2270" t="s">
        <v>452</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113</v>
      </c>
      <c r="T40" s="1255" t="s">
        <v>114</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279</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127</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279</v>
      </c>
      <c r="B42" s="1363" t="s">
        <v>280</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405</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406</v>
      </c>
      <c r="AM42" s="500"/>
      <c r="AN42" s="500" t="str">
        <f>IF(T42="","",T42)</f>
        <v>Территория действия тарифа</v>
      </c>
      <c r="AO42" s="500"/>
      <c r="AP42" s="500"/>
      <c r="AQ42" s="1155">
        <v>23</v>
      </c>
    </row>
    <row customHeight="1" ht="24">
      <c r="A43" s="1363" t="s">
        <v>279</v>
      </c>
      <c r="B43" s="1363" t="s">
        <v>280</v>
      </c>
      <c r="C43" s="1363" t="s">
        <v>281</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524</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525</v>
      </c>
      <c r="AM43" s="500"/>
      <c r="AN43" s="500" t="str">
        <f>IF(T43="","",T43)</f>
        <v>Наименование централизованной системы водоотведения</v>
      </c>
      <c r="AO43" s="500"/>
      <c r="AP43" s="500"/>
      <c r="AQ43" s="1155">
        <v>23</v>
      </c>
    </row>
    <row customHeight="1" ht="24">
      <c r="A44" s="1363" t="s">
        <v>279</v>
      </c>
      <c r="B44" s="1363" t="s">
        <v>280</v>
      </c>
      <c r="C44" s="1363" t="s">
        <v>281</v>
      </c>
      <c r="D44" s="1363" t="s">
        <v>529</v>
      </c>
      <c r="E44" s="2259"/>
      <c r="F44" s="2259"/>
      <c r="G44" s="2259"/>
      <c r="H44" s="2259"/>
      <c r="I44" s="2256" t="str">
        <f>S43&amp;".1"</f>
        <v>...1</v>
      </c>
      <c r="J44" s="1363"/>
      <c r="K44" s="1363"/>
      <c r="L44" s="1364"/>
      <c r="P44" s="2257">
        <v>1</v>
      </c>
      <c r="Q44" s="1481"/>
      <c r="R44" s="356"/>
      <c r="S44" s="1493" t="str">
        <f>$I44</f>
        <v>...1</v>
      </c>
      <c r="T44" s="285" t="s">
        <v>491</v>
      </c>
      <c r="U44" s="300"/>
      <c r="V44" s="2350"/>
      <c r="W44" s="2351"/>
      <c r="X44" s="2351"/>
      <c r="Y44" s="2351"/>
      <c r="Z44" s="2351"/>
      <c r="AA44" s="2351"/>
      <c r="AB44" s="2352"/>
      <c r="AC44" s="2353"/>
      <c r="AD44" s="2354"/>
      <c r="AE44" s="2354"/>
      <c r="AF44" s="2354"/>
      <c r="AG44" s="2354"/>
      <c r="AH44" s="2354"/>
      <c r="AI44" s="2354"/>
      <c r="AJ44" s="2355"/>
      <c r="AK44" s="1258" t="s">
        <v>492</v>
      </c>
      <c r="AM44" s="500"/>
      <c r="AN44" s="500" t="str">
        <f>IF(T44="","",T44)</f>
        <v>Наименование признака дифференциации</v>
      </c>
      <c r="AO44" s="500"/>
      <c r="AP44" s="500"/>
      <c r="AQ44" s="1155">
        <v>23</v>
      </c>
    </row>
    <row customHeight="1" ht="24">
      <c r="A45" s="1363" t="s">
        <v>279</v>
      </c>
      <c r="B45" s="1363" t="s">
        <v>280</v>
      </c>
      <c r="C45" s="1363" t="s">
        <v>281</v>
      </c>
      <c r="D45" s="1363" t="s">
        <v>529</v>
      </c>
      <c r="E45" s="2259"/>
      <c r="F45" s="2259"/>
      <c r="G45" s="2259"/>
      <c r="H45" s="2259"/>
      <c r="I45" s="2286"/>
      <c r="J45" s="2256" t="str">
        <f>I44&amp;".1"</f>
        <v>...1.1</v>
      </c>
      <c r="K45" s="1363"/>
      <c r="L45" s="1364" t="s">
        <v>414</v>
      </c>
      <c r="P45" s="2257"/>
      <c r="Q45" s="2257">
        <v>1</v>
      </c>
      <c r="R45" s="357"/>
      <c r="S45" s="1493" t="str">
        <f>$J45</f>
        <v>...1.1</v>
      </c>
      <c r="T45" s="286" t="s">
        <v>415</v>
      </c>
      <c r="U45" s="300"/>
      <c r="V45" s="2245"/>
      <c r="W45" s="2246"/>
      <c r="X45" s="2246"/>
      <c r="Y45" s="2246"/>
      <c r="Z45" s="2246"/>
      <c r="AA45" s="2246"/>
      <c r="AB45" s="2247"/>
      <c r="AC45" s="2245"/>
      <c r="AD45" s="2246"/>
      <c r="AE45" s="2246"/>
      <c r="AF45" s="2246"/>
      <c r="AG45" s="2246"/>
      <c r="AH45" s="2246"/>
      <c r="AI45" s="2246"/>
      <c r="AJ45" s="2247"/>
      <c r="AK45" s="1307" t="s">
        <v>493</v>
      </c>
      <c r="AM45" s="500"/>
      <c r="AN45" s="500" t="str">
        <f>IF(T45="","",T45)</f>
        <v>Группа потребителей</v>
      </c>
      <c r="AO45" s="500"/>
      <c r="AP45" s="500"/>
      <c r="AQ45" s="1155">
        <v>23</v>
      </c>
    </row>
    <row customHeight="1" ht="24">
      <c r="A46" s="1363" t="s">
        <v>279</v>
      </c>
      <c r="B46" s="1363" t="s">
        <v>280</v>
      </c>
      <c r="C46" s="1363" t="s">
        <v>281</v>
      </c>
      <c r="D46" s="1363" t="s">
        <v>529</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70</v>
      </c>
      <c r="AA46" s="2267"/>
      <c r="AB46" s="2268" t="s">
        <v>70</v>
      </c>
      <c r="AC46" s="751"/>
      <c r="AD46" s="751"/>
      <c r="AE46" s="1257"/>
      <c r="AF46" s="2265"/>
      <c r="AG46" s="2107" t="s">
        <v>70</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279</v>
      </c>
      <c r="B47" s="1363" t="s">
        <v>280</v>
      </c>
      <c r="C47" s="1363" t="s">
        <v>281</v>
      </c>
      <c r="D47" s="1363" t="s">
        <v>529</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279</v>
      </c>
      <c r="B48" s="1363" t="s">
        <v>280</v>
      </c>
      <c r="C48" s="1363" t="s">
        <v>281</v>
      </c>
      <c r="D48" s="1363" t="s">
        <v>529</v>
      </c>
      <c r="E48" s="2259"/>
      <c r="F48" s="2259"/>
      <c r="G48" s="2259"/>
      <c r="H48" s="2259"/>
      <c r="I48" s="2286"/>
      <c r="J48" s="2256"/>
      <c r="K48" s="1363"/>
      <c r="L48" s="1364"/>
      <c r="P48" s="2257"/>
      <c r="Q48" s="2257"/>
      <c r="R48" s="356"/>
      <c r="S48" s="1278"/>
      <c r="T48" s="287" t="s">
        <v>494</v>
      </c>
      <c r="U48" s="367"/>
      <c r="V48" s="367"/>
      <c r="W48" s="367"/>
      <c r="X48" s="367"/>
      <c r="Y48" s="367"/>
      <c r="Z48" s="367"/>
      <c r="AA48" s="367"/>
      <c r="AB48" s="367"/>
      <c r="AC48" s="367"/>
      <c r="AD48" s="367"/>
      <c r="AE48" s="367"/>
      <c r="AF48" s="367"/>
      <c r="AG48" s="367"/>
      <c r="AH48" s="367"/>
      <c r="AI48" s="367"/>
      <c r="AJ48" s="367"/>
      <c r="AK48" s="1258" t="s">
        <v>495</v>
      </c>
      <c r="AM48" s="500"/>
      <c r="AN48" s="500" t="str">
        <f>IF(T48="","",T48)</f>
        <v>Добавить значение признака дифференциации</v>
      </c>
      <c r="AO48" s="500"/>
      <c r="AP48" s="500"/>
      <c r="AQ48" s="1155">
        <v>20</v>
      </c>
    </row>
    <row customHeight="1" ht="22.049999999999997">
      <c r="A49" s="1363" t="s">
        <v>279</v>
      </c>
      <c r="B49" s="1363" t="s">
        <v>280</v>
      </c>
      <c r="C49" s="1363" t="s">
        <v>281</v>
      </c>
      <c r="D49" s="1363" t="s">
        <v>529</v>
      </c>
      <c r="E49" s="2259"/>
      <c r="F49" s="2259"/>
      <c r="G49" s="2259"/>
      <c r="H49" s="2259"/>
      <c r="I49" s="2256"/>
      <c r="J49" s="1363"/>
      <c r="K49" s="1363"/>
      <c r="L49" s="1364"/>
      <c r="P49" s="2257"/>
      <c r="Q49" s="1481"/>
      <c r="R49" s="356"/>
      <c r="S49" s="1278"/>
      <c r="T49" s="365" t="s">
        <v>420</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279</v>
      </c>
      <c r="B50" s="1363" t="s">
        <v>280</v>
      </c>
      <c r="C50" s="1363" t="s">
        <v>281</v>
      </c>
      <c r="D50" s="1363" t="s">
        <v>529</v>
      </c>
      <c r="E50" s="2259"/>
      <c r="F50" s="2259"/>
      <c r="G50" s="2259"/>
      <c r="H50" s="2258"/>
      <c r="I50" s="1363"/>
      <c r="J50" s="1363"/>
      <c r="K50" s="1363"/>
      <c r="L50" s="1364"/>
      <c r="M50" s="1365"/>
      <c r="N50" s="1365"/>
      <c r="O50" s="537"/>
      <c r="P50" s="360"/>
      <c r="Q50" s="375"/>
      <c r="R50" s="355"/>
      <c r="S50" s="1278"/>
      <c r="T50" s="372" t="s">
        <v>496</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279</v>
      </c>
      <c r="B51" s="1343" t="s">
        <v>280</v>
      </c>
      <c r="C51" s="1314"/>
      <c r="D51" s="1314"/>
      <c r="E51" s="2259"/>
      <c r="F51" s="2258"/>
      <c r="G51" s="1314"/>
      <c r="H51" s="1314"/>
      <c r="I51" s="1314"/>
      <c r="J51" s="1314"/>
      <c r="K51" s="1314"/>
      <c r="L51" s="1494"/>
      <c r="M51" s="1321"/>
      <c r="N51" s="1321"/>
      <c r="P51" s="1316"/>
      <c r="Q51" s="1317"/>
      <c r="R51" s="1316"/>
      <c r="S51" s="1322"/>
      <c r="T51" s="1325" t="s">
        <v>173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279</v>
      </c>
      <c r="B52" s="1343"/>
      <c r="C52" s="1343"/>
      <c r="D52" s="1343"/>
      <c r="E52" s="2258"/>
      <c r="F52" s="1343"/>
      <c r="G52" s="1343"/>
      <c r="H52" s="1343"/>
      <c r="I52" s="1343"/>
      <c r="J52" s="1343"/>
      <c r="K52" s="1343"/>
      <c r="L52" s="1346"/>
      <c r="M52" s="1321"/>
      <c r="N52" s="1321"/>
      <c r="O52" s="518"/>
      <c r="P52" s="380"/>
      <c r="Q52" s="1344"/>
      <c r="R52" s="380"/>
      <c r="S52" s="1322"/>
      <c r="T52" s="1325" t="s">
        <v>174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175</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86</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8876C8-76E4-AEE7-9498-36D5B239FFCA}"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127</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405</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406</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524</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525</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410</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411</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70</v>
      </c>
      <c r="AB8" s="1734"/>
      <c r="AC8" s="1469" t="s">
        <v>70</v>
      </c>
      <c r="AD8" s="2185" t="s">
        <v>70</v>
      </c>
      <c r="AE8" s="2326"/>
      <c r="AF8" s="2205">
        <v>1</v>
      </c>
      <c r="AG8" s="2363"/>
      <c r="AH8" s="2107" t="s">
        <v>70</v>
      </c>
      <c r="AI8" s="2326"/>
      <c r="AJ8" s="2205">
        <v>1</v>
      </c>
      <c r="AK8" s="2327" t="s">
        <v>28</v>
      </c>
      <c r="AL8" s="2107" t="s">
        <v>70</v>
      </c>
      <c r="AM8" s="2192"/>
      <c r="AN8" s="2205">
        <v>1</v>
      </c>
      <c r="AO8" s="2357"/>
      <c r="AP8" s="2358" t="s">
        <v>70</v>
      </c>
      <c r="AQ8" s="311"/>
      <c r="AR8" s="1486">
        <v>1</v>
      </c>
      <c r="AS8" s="1492" t="s">
        <v>28</v>
      </c>
      <c r="AT8" s="751"/>
      <c r="AU8" s="1257"/>
      <c r="AV8" s="751"/>
      <c r="AW8" s="1257"/>
      <c r="AX8" s="1734"/>
      <c r="AY8" s="1469" t="s">
        <v>70</v>
      </c>
      <c r="AZ8" s="1734"/>
      <c r="BA8" s="1469" t="s">
        <v>70</v>
      </c>
      <c r="BB8" s="1348"/>
      <c r="BC8" s="2253" t="s">
        <v>509</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510</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530</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531</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513</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476</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173</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174</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70</v>
      </c>
      <c r="AZ20" s="1736"/>
      <c r="BA20" s="1485" t="s">
        <v>70</v>
      </c>
      <c r="BI20" s="1155">
        <v>0</v>
      </c>
    </row>
    <row customHeight="1" ht="14.25" hidden="1">
      <c r="BD21" s="496"/>
      <c r="BE21" s="496"/>
      <c r="BF21" s="496"/>
      <c r="BG21" s="496"/>
      <c r="BH21" s="496"/>
      <c r="BI21" s="1155">
        <v>0</v>
      </c>
    </row>
    <row customHeight="1" ht="14.25" hidden="1">
      <c r="O22" s="1367" t="s">
        <v>422</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423</v>
      </c>
      <c r="P24" s="1508"/>
      <c r="Q24" s="1510"/>
      <c r="R24" s="1510"/>
      <c r="AA24" s="1507" t="s">
        <v>425</v>
      </c>
      <c r="AC24" s="1507" t="s">
        <v>426</v>
      </c>
      <c r="AD24" s="1507" t="s">
        <v>477</v>
      </c>
      <c r="AH24" s="1507" t="s">
        <v>477</v>
      </c>
      <c r="AK24" s="1507" t="s">
        <v>514</v>
      </c>
      <c r="AL24" s="1507" t="s">
        <v>477</v>
      </c>
      <c r="AP24" s="1507" t="s">
        <v>477</v>
      </c>
      <c r="AY24" s="1507" t="s">
        <v>425</v>
      </c>
      <c r="BA24" s="1507" t="s">
        <v>426</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ООО "Энерго-Сервис"</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Комитет по тарифам и ценам Курской области</v>
      </c>
      <c r="W31" s="2251"/>
      <c r="X31" s="2251"/>
      <c r="Y31" s="2251"/>
      <c r="Z31" s="2251"/>
      <c r="AA31" s="2251"/>
      <c r="AB31" s="2251"/>
      <c r="AC31" s="326"/>
      <c r="AD31" s="2251" t="str">
        <f>IF(TITLE_NAME_OR_PR_CHANGE="",IF(TITLE_NAME_OR_PR="","",TITLE_NAME_OR_PR),TITLE_NAME_OR_PR_CHANGE)</f>
        <v>Комитет по тарифам и ценам Курской области</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428</v>
      </c>
      <c r="T32" s="2250"/>
      <c r="U32" s="1372"/>
      <c r="V32" s="2264" t="str">
        <f>IF(TITLE_DATE_PR_CHANGE="",IF(TITLE_DATE_PR="","",TITLE_DATE_PR),TITLE_DATE_PR_CHANGE)</f>
        <v>46010</v>
      </c>
      <c r="W32" s="2264"/>
      <c r="X32" s="2264"/>
      <c r="Y32" s="2264"/>
      <c r="Z32" s="2264"/>
      <c r="AA32" s="2264"/>
      <c r="AB32" s="2264"/>
      <c r="AC32" s="326"/>
      <c r="AD32" s="2264" t="str">
        <f>IF(TITLE_DATE_PR_CHANGE="",IF(TITLE_DATE_PR="","",TITLE_DATE_PR),TITLE_DATE_PR_CHANGE)</f>
        <v>46010</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429</v>
      </c>
      <c r="T33" s="2250"/>
      <c r="U33" s="1372"/>
      <c r="V33" s="2251" t="str">
        <f>IF(TITLE_NUMBER_PR_CHANGE="",IF(TITLE_NUMBER_PR="","",TITLE_NUMBER_PR),TITLE_NUMBER_PR_CHANGE)</f>
        <v>66</v>
      </c>
      <c r="W33" s="2251"/>
      <c r="X33" s="2251"/>
      <c r="Y33" s="2251"/>
      <c r="Z33" s="2251"/>
      <c r="AA33" s="2251"/>
      <c r="AB33" s="2251"/>
      <c r="AC33" s="326"/>
      <c r="AD33" s="2251" t="str">
        <f>IF(TITLE_NUMBER_PR_CHANGE="",IF(TITLE_NUMBER_PR="","",TITLE_NUMBER_PR),TITLE_NUMBER_PR_CHANGE)</f>
        <v>66</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c r="A34" s="1368"/>
      <c r="B34" s="1368"/>
      <c r="C34" s="1368"/>
      <c r="D34" s="1368"/>
      <c r="E34" s="1368"/>
      <c r="F34" s="1368"/>
      <c r="G34" s="1368"/>
      <c r="H34" s="1368"/>
      <c r="I34" s="1368"/>
      <c r="J34" s="1368"/>
      <c r="K34" s="1368"/>
      <c r="L34" s="1369"/>
      <c r="M34" s="1368"/>
      <c r="N34" s="1368"/>
      <c r="O34" s="1368"/>
      <c r="P34" s="1368"/>
      <c r="Q34" s="1368"/>
      <c r="S34" s="2250" t="s">
        <v>44</v>
      </c>
      <c r="T34" s="2250"/>
      <c r="U34" s="1372"/>
      <c r="V34" s="2251" t="str">
        <f>IF(TITLE_IST_PUB_CHANGE="",IF(TITLE_IST_PUB="","",TITLE_IST_PUB),TITLE_IST_PUB_CHANGE)</f>
        <v>https://kurskpravo.ru/accepted-npa-prewev/2528</v>
      </c>
      <c r="W34" s="2251"/>
      <c r="X34" s="2251"/>
      <c r="Y34" s="2251"/>
      <c r="Z34" s="2251"/>
      <c r="AA34" s="2251"/>
      <c r="AB34" s="2251"/>
      <c r="AC34" s="326"/>
      <c r="AD34" s="2251" t="str">
        <f>IF(TITLE_IST_PUB_CHANGE="",IF(TITLE_IST_PUB="","",TITLE_IST_PUB),TITLE_IST_PUB_CHANGE)</f>
        <v>https://kurskpravo.ru/accepted-npa-prewev/2528</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428</v>
      </c>
      <c r="T36" s="2250"/>
      <c r="U36" s="1372"/>
      <c r="V36" s="2264" t="str">
        <f>IF(TITLE_DATE_PR_CHANGE="",IF(TITLE_DATE_PR="","",TITLE_DATE_PR),TITLE_DATE_PR_CHANGE)</f>
        <v>46010</v>
      </c>
      <c r="W36" s="2264"/>
      <c r="X36" s="2264"/>
      <c r="Y36" s="2264"/>
      <c r="Z36" s="2264"/>
      <c r="AA36" s="2264"/>
      <c r="AB36" s="2264"/>
      <c r="AC36" s="326"/>
      <c r="AD36" s="2264" t="str">
        <f>IF(TITLE_DATE_PR_CHANGE="",IF(TITLE_DATE_PR="","",TITLE_DATE_PR),TITLE_DATE_PR_CHANGE)</f>
        <v>46010</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429</v>
      </c>
      <c r="T37" s="2250"/>
      <c r="U37" s="1372"/>
      <c r="V37" s="2251" t="str">
        <f>IF(TITLE_NUMBER_PR_CHANGE="",IF(TITLE_NUMBER_PR="","",TITLE_NUMBER_PR),TITLE_NUMBER_PR_CHANGE)</f>
        <v>66</v>
      </c>
      <c r="W37" s="2251"/>
      <c r="X37" s="2251"/>
      <c r="Y37" s="2251"/>
      <c r="Z37" s="2251"/>
      <c r="AA37" s="2251"/>
      <c r="AB37" s="2251"/>
      <c r="AC37" s="326"/>
      <c r="AD37" s="2251" t="str">
        <f>IF(TITLE_NUMBER_PR_CHANGE="",IF(TITLE_NUMBER_PR="","",TITLE_NUMBER_PR),TITLE_NUMBER_PR_CHANGE)</f>
        <v>66</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432</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432</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308</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309</v>
      </c>
      <c r="BI40" s="1155">
        <v>14</v>
      </c>
    </row>
    <row customHeight="1" ht="14.699999999999998">
      <c r="Q41" s="291"/>
      <c r="R41" s="376"/>
      <c r="S41" s="2273" t="s">
        <v>92</v>
      </c>
      <c r="T41" s="2209" t="s">
        <v>515</v>
      </c>
      <c r="U41" s="301"/>
      <c r="V41" s="2274" t="s">
        <v>434</v>
      </c>
      <c r="W41" s="2275"/>
      <c r="X41" s="2275"/>
      <c r="Y41" s="2275"/>
      <c r="Z41" s="2275"/>
      <c r="AA41" s="2275"/>
      <c r="AB41" s="2276"/>
      <c r="AC41" s="2277" t="s">
        <v>435</v>
      </c>
      <c r="AD41" s="2328" t="s">
        <v>532</v>
      </c>
      <c r="AE41" s="2291"/>
      <c r="AF41" s="2291"/>
      <c r="AG41" s="2329"/>
      <c r="AH41" s="2328" t="s">
        <v>533</v>
      </c>
      <c r="AI41" s="2291"/>
      <c r="AJ41" s="2291"/>
      <c r="AK41" s="2329"/>
      <c r="AL41" s="2328" t="s">
        <v>534</v>
      </c>
      <c r="AM41" s="2291"/>
      <c r="AN41" s="2291"/>
      <c r="AO41" s="2329"/>
      <c r="AP41" s="2328" t="s">
        <v>519</v>
      </c>
      <c r="AQ41" s="2291"/>
      <c r="AR41" s="2291"/>
      <c r="AS41" s="2329"/>
      <c r="AT41" s="2274" t="s">
        <v>434</v>
      </c>
      <c r="AU41" s="2275"/>
      <c r="AV41" s="2275"/>
      <c r="AW41" s="2275"/>
      <c r="AX41" s="2275"/>
      <c r="AY41" s="2275"/>
      <c r="AZ41" s="2276"/>
      <c r="BA41" s="2277" t="s">
        <v>435</v>
      </c>
      <c r="BB41" s="2280" t="s">
        <v>437</v>
      </c>
      <c r="BC41" s="2127"/>
      <c r="BI41" s="1155">
        <v>14</v>
      </c>
    </row>
    <row customHeight="1" ht="35.699999999999996">
      <c r="Q42" s="291"/>
      <c r="R42" s="376"/>
      <c r="S42" s="2273"/>
      <c r="T42" s="2209"/>
      <c r="U42" s="1031"/>
      <c r="V42" s="2192" t="s">
        <v>520</v>
      </c>
      <c r="W42" s="2193"/>
      <c r="X42" s="2192" t="s">
        <v>521</v>
      </c>
      <c r="Y42" s="2193"/>
      <c r="Z42" s="2294" t="s">
        <v>522</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535</v>
      </c>
      <c r="AU42" s="2193"/>
      <c r="AV42" s="2192" t="s">
        <v>536</v>
      </c>
      <c r="AW42" s="2193"/>
      <c r="AX42" s="2294" t="s">
        <v>522</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139</v>
      </c>
      <c r="C44" s="1370" t="s">
        <v>140</v>
      </c>
      <c r="D44" s="1370" t="s">
        <v>141</v>
      </c>
      <c r="E44" s="1364" t="s">
        <v>442</v>
      </c>
      <c r="F44" s="1364" t="s">
        <v>443</v>
      </c>
      <c r="G44" s="1364" t="s">
        <v>444</v>
      </c>
      <c r="H44" s="1364" t="s">
        <v>445</v>
      </c>
      <c r="I44" s="1364" t="s">
        <v>446</v>
      </c>
      <c r="J44" s="1364" t="s">
        <v>447</v>
      </c>
      <c r="K44" s="1364" t="s">
        <v>448</v>
      </c>
      <c r="L44" s="1364" t="s">
        <v>423</v>
      </c>
      <c r="Q44" s="291"/>
      <c r="R44" s="376"/>
      <c r="S44" s="2273"/>
      <c r="T44" s="2209"/>
      <c r="U44" s="302"/>
      <c r="V44" s="1479" t="s">
        <v>486</v>
      </c>
      <c r="W44" s="1479" t="s">
        <v>487</v>
      </c>
      <c r="X44" s="1479" t="s">
        <v>486</v>
      </c>
      <c r="Y44" s="1479" t="s">
        <v>487</v>
      </c>
      <c r="Z44" s="1489" t="s">
        <v>451</v>
      </c>
      <c r="AA44" s="2270" t="s">
        <v>452</v>
      </c>
      <c r="AB44" s="2271"/>
      <c r="AC44" s="2279"/>
      <c r="AD44" s="2333"/>
      <c r="AE44" s="2334"/>
      <c r="AF44" s="2334"/>
      <c r="AG44" s="2335"/>
      <c r="AH44" s="2333"/>
      <c r="AI44" s="2334"/>
      <c r="AJ44" s="2334"/>
      <c r="AK44" s="2335"/>
      <c r="AL44" s="2333"/>
      <c r="AM44" s="2334"/>
      <c r="AN44" s="2334"/>
      <c r="AO44" s="2335"/>
      <c r="AP44" s="2333"/>
      <c r="AQ44" s="2334"/>
      <c r="AR44" s="2334"/>
      <c r="AS44" s="2335"/>
      <c r="AT44" s="1479" t="s">
        <v>486</v>
      </c>
      <c r="AU44" s="1479" t="s">
        <v>487</v>
      </c>
      <c r="AV44" s="1479" t="s">
        <v>486</v>
      </c>
      <c r="AW44" s="1479" t="s">
        <v>487</v>
      </c>
      <c r="AX44" s="1489" t="s">
        <v>451</v>
      </c>
      <c r="AY44" s="2270" t="s">
        <v>452</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113</v>
      </c>
      <c r="T45" s="1255" t="s">
        <v>114</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284</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127</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284</v>
      </c>
      <c r="B47" s="1363" t="s">
        <v>285</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405</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406</v>
      </c>
      <c r="BE47" s="500"/>
      <c r="BF47" s="500" t="str">
        <f>IF(T47="","",T47)</f>
        <v>Территория действия тарифа</v>
      </c>
      <c r="BG47" s="500"/>
      <c r="BH47" s="500"/>
      <c r="BI47" s="1155">
        <v>21</v>
      </c>
    </row>
    <row customHeight="1" ht="35.699999999999996">
      <c r="A48" s="1363" t="s">
        <v>284</v>
      </c>
      <c r="B48" s="1363" t="s">
        <v>285</v>
      </c>
      <c r="C48" s="1363" t="s">
        <v>286</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524</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525</v>
      </c>
      <c r="BE48" s="500"/>
      <c r="BF48" s="500" t="str">
        <f>IF(T48="","",T48)</f>
        <v>Наименование централизованной системы водоотведения</v>
      </c>
      <c r="BG48" s="500"/>
      <c r="BH48" s="500"/>
      <c r="BI48" s="1155">
        <v>34</v>
      </c>
    </row>
    <row s="1642" customFormat="1" customHeight="1" ht="0">
      <c r="A49" s="1343" t="s">
        <v>284</v>
      </c>
      <c r="B49" s="1343" t="s">
        <v>285</v>
      </c>
      <c r="C49" s="1343" t="s">
        <v>286</v>
      </c>
      <c r="D49" s="1343" t="s">
        <v>537</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410</v>
      </c>
      <c r="BE49" s="500"/>
      <c r="BF49" s="500" t="str">
        <f>IF(T49="","",T49)</f>
        <v/>
      </c>
      <c r="BG49" s="500"/>
      <c r="BH49" s="500"/>
      <c r="BI49" s="511">
        <v>0</v>
      </c>
    </row>
    <row s="1642" customFormat="1" customHeight="1" ht="0">
      <c r="A50" s="1343" t="s">
        <v>284</v>
      </c>
      <c r="B50" s="1343" t="s">
        <v>285</v>
      </c>
      <c r="C50" s="1343" t="s">
        <v>286</v>
      </c>
      <c r="D50" s="1343" t="s">
        <v>537</v>
      </c>
      <c r="E50" s="2259"/>
      <c r="F50" s="2259"/>
      <c r="G50" s="2259"/>
      <c r="H50" s="2259"/>
      <c r="I50" s="2256" t="str">
        <f>S49&amp;".1"</f>
        <v>.1</v>
      </c>
      <c r="J50" s="1343"/>
      <c r="K50" s="1343"/>
      <c r="L50" s="1346" t="s">
        <v>411</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284</v>
      </c>
      <c r="B51" s="1343" t="s">
        <v>285</v>
      </c>
      <c r="C51" s="1343" t="s">
        <v>286</v>
      </c>
      <c r="D51" s="1343" t="s">
        <v>537</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284</v>
      </c>
      <c r="B52" s="1363" t="s">
        <v>285</v>
      </c>
      <c r="C52" s="1363" t="s">
        <v>286</v>
      </c>
      <c r="D52" s="1363" t="s">
        <v>537</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70</v>
      </c>
      <c r="AB52" s="1734"/>
      <c r="AC52" s="1469" t="s">
        <v>70</v>
      </c>
      <c r="AD52" s="2185" t="s">
        <v>70</v>
      </c>
      <c r="AE52" s="2326"/>
      <c r="AF52" s="2205">
        <v>1</v>
      </c>
      <c r="AG52" s="2363"/>
      <c r="AH52" s="2107" t="s">
        <v>70</v>
      </c>
      <c r="AI52" s="2326"/>
      <c r="AJ52" s="2205">
        <v>1</v>
      </c>
      <c r="AK52" s="2327" t="s">
        <v>28</v>
      </c>
      <c r="AL52" s="2107" t="s">
        <v>70</v>
      </c>
      <c r="AM52" s="2192"/>
      <c r="AN52" s="2205">
        <v>1</v>
      </c>
      <c r="AO52" s="2357"/>
      <c r="AP52" s="2358" t="s">
        <v>70</v>
      </c>
      <c r="AQ52" s="311"/>
      <c r="AR52" s="1486">
        <v>1</v>
      </c>
      <c r="AS52" s="1492" t="s">
        <v>28</v>
      </c>
      <c r="AT52" s="751"/>
      <c r="AU52" s="1257"/>
      <c r="AV52" s="751"/>
      <c r="AW52" s="1257"/>
      <c r="AX52" s="1734"/>
      <c r="AY52" s="1469" t="s">
        <v>70</v>
      </c>
      <c r="AZ52" s="1734"/>
      <c r="BA52" s="1469" t="s">
        <v>70</v>
      </c>
      <c r="BB52" s="1348"/>
      <c r="BC52" s="2253" t="s">
        <v>509</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510</v>
      </c>
      <c r="AT53" s="1393"/>
      <c r="AU53" s="1496"/>
      <c r="AV53" s="1393"/>
      <c r="AW53" s="1496"/>
      <c r="AX53" s="1393"/>
      <c r="AY53" s="1393"/>
      <c r="AZ53" s="1393"/>
      <c r="BA53" s="1393"/>
      <c r="BB53" s="1397"/>
      <c r="BC53" s="2254"/>
      <c r="BE53" s="500"/>
      <c r="BF53" s="500"/>
      <c r="BG53" s="500"/>
      <c r="BH53" s="500"/>
      <c r="BI53" s="1155">
        <v>11</v>
      </c>
    </row>
    <row customHeight="1" ht="11.549999999999999">
      <c r="A54" s="1363" t="s">
        <v>284</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530</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284</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531</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284</v>
      </c>
      <c r="B56" s="1363" t="s">
        <v>285</v>
      </c>
      <c r="C56" s="1363" t="s">
        <v>286</v>
      </c>
      <c r="D56" s="1363" t="s">
        <v>537</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513</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284</v>
      </c>
      <c r="B57" s="1363" t="s">
        <v>285</v>
      </c>
      <c r="C57" s="1363" t="s">
        <v>286</v>
      </c>
      <c r="D57" s="1363" t="s">
        <v>537</v>
      </c>
      <c r="E57" s="2259"/>
      <c r="F57" s="2259"/>
      <c r="G57" s="2259"/>
      <c r="H57" s="2259"/>
      <c r="I57" s="2286"/>
      <c r="J57" s="2256"/>
      <c r="K57" s="1363"/>
      <c r="L57" s="1364"/>
      <c r="P57" s="2257"/>
      <c r="Q57" s="2257"/>
      <c r="R57" s="356"/>
      <c r="S57" s="1278"/>
      <c r="T57" s="287" t="s">
        <v>476</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284</v>
      </c>
      <c r="B58" s="1343" t="s">
        <v>285</v>
      </c>
      <c r="C58" s="1343" t="s">
        <v>286</v>
      </c>
      <c r="D58" s="1343" t="s">
        <v>537</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284</v>
      </c>
      <c r="B59" s="1343" t="s">
        <v>285</v>
      </c>
      <c r="C59" s="1343" t="s">
        <v>286</v>
      </c>
      <c r="D59" s="1343" t="s">
        <v>537</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284</v>
      </c>
      <c r="B60" s="1343" t="s">
        <v>285</v>
      </c>
      <c r="C60" s="1343" t="s">
        <v>286</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284</v>
      </c>
      <c r="B61" s="1343" t="s">
        <v>285</v>
      </c>
      <c r="C61" s="1314"/>
      <c r="D61" s="1314"/>
      <c r="E61" s="2259"/>
      <c r="F61" s="2258"/>
      <c r="G61" s="1314"/>
      <c r="H61" s="1314"/>
      <c r="I61" s="1314"/>
      <c r="J61" s="1314"/>
      <c r="K61" s="1314"/>
      <c r="L61" s="1494"/>
      <c r="M61" s="1321"/>
      <c r="N61" s="1321"/>
      <c r="P61" s="1316"/>
      <c r="Q61" s="1317"/>
      <c r="R61" s="1316"/>
      <c r="S61" s="1322"/>
      <c r="T61" s="1325" t="s">
        <v>173</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284</v>
      </c>
      <c r="B62" s="1343"/>
      <c r="C62" s="1343"/>
      <c r="D62" s="1343"/>
      <c r="E62" s="2258"/>
      <c r="F62" s="1343"/>
      <c r="G62" s="1343"/>
      <c r="H62" s="1343"/>
      <c r="I62" s="1343"/>
      <c r="J62" s="1343"/>
      <c r="K62" s="1343"/>
      <c r="L62" s="1346"/>
      <c r="M62" s="1321"/>
      <c r="N62" s="1321"/>
      <c r="O62" s="518"/>
      <c r="P62" s="380"/>
      <c r="Q62" s="1344"/>
      <c r="R62" s="380"/>
      <c r="S62" s="1322"/>
      <c r="T62" s="1325" t="s">
        <v>174</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175</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86</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7F5504-F108-D128-02F8-0.8BB70AA7A5}"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87</v>
      </c>
      <c r="H1" s="494" t="s">
        <v>88</v>
      </c>
      <c r="I1" s="227" t="s">
        <v>89</v>
      </c>
      <c r="J1" s="247" t="s">
        <v>87</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90</v>
      </c>
      <c r="F8" s="2102"/>
      <c r="G8" s="2103"/>
      <c r="H8" s="2104" t="s">
        <v>91</v>
      </c>
      <c r="I8" s="2104"/>
      <c r="J8" s="155"/>
      <c r="K8" s="155"/>
      <c r="L8" s="155"/>
      <c r="M8" s="155"/>
      <c r="N8" s="226"/>
      <c r="O8" s="155"/>
      <c r="P8" s="225"/>
      <c r="Q8" s="225"/>
      <c r="R8" s="225"/>
      <c r="S8" s="225"/>
      <c r="AC8" s="116">
        <v>14</v>
      </c>
    </row>
    <row s="1819" customFormat="1" customHeight="1" ht="21">
      <c r="A9" s="758"/>
      <c r="B9" s="417"/>
      <c r="C9" s="758"/>
      <c r="D9" s="164"/>
      <c r="E9" s="777" t="s">
        <v>92</v>
      </c>
      <c r="F9" s="777"/>
      <c r="G9" s="172" t="s">
        <v>93</v>
      </c>
      <c r="H9" s="172" t="s">
        <v>93</v>
      </c>
      <c r="I9" s="172" t="s">
        <v>89</v>
      </c>
      <c r="J9" s="155"/>
      <c r="K9" s="155"/>
      <c r="L9" s="155"/>
      <c r="M9" s="155"/>
      <c r="N9" s="226"/>
      <c r="O9" s="155"/>
      <c r="P9" s="225"/>
      <c r="Q9" s="225"/>
      <c r="R9" s="225"/>
      <c r="S9" s="225"/>
      <c r="AC9" s="116">
        <v>20</v>
      </c>
    </row>
    <row customHeight="1" ht="11.549999999999999">
      <c r="D10" s="176"/>
      <c r="E10" s="778" t="s">
        <v>94</v>
      </c>
      <c r="F10" s="778"/>
      <c r="G10" s="223" t="s">
        <v>95</v>
      </c>
      <c r="H10" s="223" t="s">
        <v>96</v>
      </c>
      <c r="I10" s="223" t="s">
        <v>97</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98</v>
      </c>
      <c r="K11" s="155"/>
      <c r="L11" s="155"/>
      <c r="M11" s="155" t="s">
        <v>99</v>
      </c>
      <c r="N11" s="226" t="s">
        <v>100</v>
      </c>
      <c r="O11" s="155" t="s">
        <v>101</v>
      </c>
      <c r="P11" s="225"/>
      <c r="Q11" s="225"/>
      <c r="R11" s="225"/>
      <c r="S11" s="225"/>
      <c r="AC11" s="116">
        <v>1</v>
      </c>
    </row>
    <row s="1819" customFormat="1" customHeight="1" ht="15">
      <c r="A12" s="2099">
        <v>1</v>
      </c>
      <c r="B12" s="417"/>
      <c r="C12" s="758"/>
      <c r="D12" s="782"/>
      <c r="E12" s="219">
        <f>A12</f>
        <v>1</v>
      </c>
      <c r="F12" s="802" t="s">
        <v>102</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103</v>
      </c>
      <c r="G13" s="793" t="s">
        <v>104</v>
      </c>
      <c r="H13" s="793" t="s">
        <v>104</v>
      </c>
      <c r="I13" s="791" t="s">
        <v>105</v>
      </c>
      <c r="J13" s="500">
        <f>MERGEVALUE(G13)</f>
      </c>
      <c r="K13" s="511"/>
      <c r="L13" s="511"/>
      <c r="M13" s="500" t="str">
        <f t="array" ref="M13:M13">IF(ISERROR(MATCH(MID(N13,1,250),MID(note_ter,1,250),0)),"n","y")</f>
        <v>n</v>
      </c>
      <c r="N13" s="511"/>
      <c r="O13" s="500" t="str">
        <f>H13&amp;"("&amp;I13&amp;")"</f>
        <v>город Курск(38701000)</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106</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107</v>
      </c>
      <c r="H15" s="178"/>
      <c r="I15" s="179"/>
      <c r="J15" s="249"/>
      <c r="K15" s="155"/>
      <c r="L15" s="155"/>
      <c r="M15" s="155"/>
      <c r="N15" s="226" t="s">
        <v>108</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86</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E029B1-A228-D316-BE35-4B980C5A2C39}"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127</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405</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406</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538</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539</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491</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492</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414</v>
      </c>
      <c r="P6" s="2257"/>
      <c r="Q6" s="2257">
        <v>1</v>
      </c>
      <c r="R6" s="357"/>
      <c r="S6" s="1493">
        <f>$J6</f>
      </c>
      <c r="T6" s="286" t="s">
        <v>415</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493</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70</v>
      </c>
      <c r="AE7" s="2265"/>
      <c r="AF7" s="2107" t="s">
        <v>70</v>
      </c>
      <c r="AG7" s="751"/>
      <c r="AH7" s="751"/>
      <c r="AI7" s="751"/>
      <c r="AJ7" s="751"/>
      <c r="AK7" s="751"/>
      <c r="AL7" s="751"/>
      <c r="AM7" s="751"/>
      <c r="AN7" s="2265"/>
      <c r="AO7" s="2107" t="s">
        <v>70</v>
      </c>
      <c r="AP7" s="2287"/>
      <c r="AQ7" s="2107" t="s">
        <v>70</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494</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495</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420</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496</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173</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174</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70</v>
      </c>
      <c r="AP15" s="2267"/>
      <c r="AQ15" s="2268" t="s">
        <v>70</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422</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423</v>
      </c>
      <c r="P20" s="1362"/>
      <c r="Q20" s="1442"/>
      <c r="R20" s="1442"/>
      <c r="S20" s="729"/>
      <c r="T20" s="1160" t="s">
        <v>424</v>
      </c>
      <c r="W20" s="1366"/>
      <c r="X20" s="1366"/>
      <c r="Y20" s="1366"/>
      <c r="Z20" s="1366"/>
      <c r="AA20" s="1366"/>
      <c r="AB20" s="1366"/>
      <c r="AD20" s="186" t="s">
        <v>425</v>
      </c>
      <c r="AF20" s="186" t="s">
        <v>426</v>
      </c>
      <c r="AG20" s="1160" t="s">
        <v>424</v>
      </c>
      <c r="AH20" s="1366"/>
      <c r="AI20" s="1366"/>
      <c r="AJ20" s="1366"/>
      <c r="AK20" s="1366"/>
      <c r="AL20" s="1366"/>
      <c r="AO20" s="186" t="s">
        <v>427</v>
      </c>
      <c r="AQ20" s="186" t="s">
        <v>426</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ООО "Энерго-Сервис"</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тарифам и ценам Курской области</v>
      </c>
      <c r="W27" s="2251"/>
      <c r="X27" s="2251"/>
      <c r="Y27" s="2251"/>
      <c r="Z27" s="2251"/>
      <c r="AA27" s="2251"/>
      <c r="AB27" s="2251"/>
      <c r="AC27" s="2251"/>
      <c r="AD27" s="2251"/>
      <c r="AE27" s="2251"/>
      <c r="AF27" s="326"/>
      <c r="AG27" s="2251" t="str">
        <f>IF(TITLE_NAME_OR_PR_CHANGE="",IF(TITLE_NAME_OR_PR="","",TITLE_NAME_OR_PR),TITLE_NAME_OR_PR_CHANGE)</f>
        <v>Комитет по тарифам и ценам Курской области</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c r="A28" s="1368"/>
      <c r="B28" s="1368"/>
      <c r="C28" s="1368"/>
      <c r="D28" s="1368"/>
      <c r="E28" s="1368"/>
      <c r="F28" s="1368"/>
      <c r="G28" s="1368"/>
      <c r="H28" s="1368"/>
      <c r="I28" s="1368"/>
      <c r="J28" s="1368"/>
      <c r="K28" s="1368"/>
      <c r="L28" s="1369"/>
      <c r="M28" s="1368"/>
      <c r="N28" s="1368"/>
      <c r="O28" s="1368"/>
      <c r="S28" s="2250" t="s">
        <v>428</v>
      </c>
      <c r="T28" s="2250"/>
      <c r="U28" s="1372"/>
      <c r="V28" s="2264" t="str">
        <f>IF(TITLE_DATE_PR_CHANGE="",IF(TITLE_DATE_PR="","",TITLE_DATE_PR),TITLE_DATE_PR_CHANGE)</f>
        <v>46010</v>
      </c>
      <c r="W28" s="2264"/>
      <c r="X28" s="2264"/>
      <c r="Y28" s="2264"/>
      <c r="Z28" s="2264"/>
      <c r="AA28" s="2264"/>
      <c r="AB28" s="2264"/>
      <c r="AC28" s="2264"/>
      <c r="AD28" s="2264"/>
      <c r="AE28" s="2264"/>
      <c r="AF28" s="326"/>
      <c r="AG28" s="2264" t="str">
        <f>IF(TITLE_DATE_PR_CHANGE="",IF(TITLE_DATE_PR="","",TITLE_DATE_PR),TITLE_DATE_PR_CHANGE)</f>
        <v>46010</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c r="A29" s="1368"/>
      <c r="B29" s="1368"/>
      <c r="C29" s="1368"/>
      <c r="D29" s="1368"/>
      <c r="E29" s="1368"/>
      <c r="F29" s="1368"/>
      <c r="G29" s="1368"/>
      <c r="H29" s="1368"/>
      <c r="I29" s="1368"/>
      <c r="J29" s="1368"/>
      <c r="K29" s="1368"/>
      <c r="L29" s="1369"/>
      <c r="M29" s="1368"/>
      <c r="N29" s="1368"/>
      <c r="O29" s="1368"/>
      <c r="S29" s="2250" t="s">
        <v>429</v>
      </c>
      <c r="T29" s="2250"/>
      <c r="U29" s="1372"/>
      <c r="V29" s="2251" t="str">
        <f>IF(TITLE_NUMBER_PR_CHANGE="",IF(TITLE_NUMBER_PR="","",TITLE_NUMBER_PR),TITLE_NUMBER_PR_CHANGE)</f>
        <v>66</v>
      </c>
      <c r="W29" s="2251"/>
      <c r="X29" s="2251"/>
      <c r="Y29" s="2251"/>
      <c r="Z29" s="2251"/>
      <c r="AA29" s="2251"/>
      <c r="AB29" s="2251"/>
      <c r="AC29" s="2251"/>
      <c r="AD29" s="2251"/>
      <c r="AE29" s="2251"/>
      <c r="AF29" s="326"/>
      <c r="AG29" s="2251" t="str">
        <f>IF(TITLE_NUMBER_PR_CHANGE="",IF(TITLE_NUMBER_PR="","",TITLE_NUMBER_PR),TITLE_NUMBER_PR_CHANGE)</f>
        <v>66</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https://kurskpravo.ru/accepted-npa-prewev/2528</v>
      </c>
      <c r="W30" s="2251"/>
      <c r="X30" s="2251"/>
      <c r="Y30" s="2251"/>
      <c r="Z30" s="2251"/>
      <c r="AA30" s="2251"/>
      <c r="AB30" s="2251"/>
      <c r="AC30" s="2251"/>
      <c r="AD30" s="2251"/>
      <c r="AE30" s="2251"/>
      <c r="AF30" s="326"/>
      <c r="AG30" s="2251" t="str">
        <f>IF(TITLE_IST_PUB_CHANGE="",IF(TITLE_IST_PUB="","",TITLE_IST_PUB),TITLE_IST_PUB_CHANGE)</f>
        <v>https://kurskpravo.ru/accepted-npa-prewev/2528</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430</v>
      </c>
      <c r="T32" s="2250"/>
      <c r="U32" s="1372"/>
      <c r="V32" s="2264" t="str">
        <f>IF(TITLE_DATE_PR_CHANGE="",IF(TITLE_DATE_PR="","",TITLE_DATE_PR),TITLE_DATE_PR_CHANGE)</f>
        <v>46010</v>
      </c>
      <c r="W32" s="2264"/>
      <c r="X32" s="2264"/>
      <c r="Y32" s="2264"/>
      <c r="Z32" s="2264"/>
      <c r="AA32" s="2264"/>
      <c r="AB32" s="2264"/>
      <c r="AC32" s="2264"/>
      <c r="AD32" s="2264"/>
      <c r="AE32" s="2264"/>
      <c r="AF32" s="326"/>
      <c r="AG32" s="2264" t="str">
        <f>IF(TITLE_DATE_PR_CHANGE="",IF(TITLE_DATE_PR="","",TITLE_DATE_PR),TITLE_DATE_PR_CHANGE)</f>
        <v>46010</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431</v>
      </c>
      <c r="T33" s="2250"/>
      <c r="U33" s="1372"/>
      <c r="V33" s="2251" t="str">
        <f>IF(TITLE_NUMBER_PR_CHANGE="",IF(TITLE_NUMBER_PR="","",TITLE_NUMBER_PR),TITLE_NUMBER_PR_CHANGE)</f>
        <v>66</v>
      </c>
      <c r="W33" s="2251"/>
      <c r="X33" s="2251"/>
      <c r="Y33" s="2251"/>
      <c r="Z33" s="2251"/>
      <c r="AA33" s="2251"/>
      <c r="AB33" s="2251"/>
      <c r="AC33" s="2251"/>
      <c r="AD33" s="2251"/>
      <c r="AE33" s="2251"/>
      <c r="AF33" s="326"/>
      <c r="AG33" s="2251" t="str">
        <f>IF(TITLE_NUMBER_PR_CHANGE="",IF(TITLE_NUMBER_PR="","",TITLE_NUMBER_PR),TITLE_NUMBER_PR_CHANGE)</f>
        <v>66</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432</v>
      </c>
      <c r="AG34" s="326"/>
      <c r="AH34" s="1635"/>
      <c r="AI34" s="1635"/>
      <c r="AJ34" s="1635"/>
      <c r="AK34" s="1635"/>
      <c r="AL34" s="1635"/>
      <c r="AM34" s="326"/>
      <c r="AN34" s="326"/>
      <c r="AO34" s="326"/>
      <c r="AP34" s="326"/>
      <c r="AQ34" s="278" t="s">
        <v>432</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308</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309</v>
      </c>
      <c r="AY36" s="1155">
        <v>14</v>
      </c>
    </row>
    <row customHeight="1" ht="14.699999999999998">
      <c r="Q37" s="376"/>
      <c r="R37" s="376"/>
      <c r="S37" s="2273" t="s">
        <v>92</v>
      </c>
      <c r="T37" s="2209" t="s">
        <v>433</v>
      </c>
      <c r="U37" s="301"/>
      <c r="V37" s="2274" t="s">
        <v>434</v>
      </c>
      <c r="W37" s="2291"/>
      <c r="X37" s="2291"/>
      <c r="Y37" s="2291"/>
      <c r="Z37" s="2291"/>
      <c r="AA37" s="2291"/>
      <c r="AB37" s="2291"/>
      <c r="AC37" s="2275"/>
      <c r="AD37" s="2275"/>
      <c r="AE37" s="2276"/>
      <c r="AF37" s="2277" t="s">
        <v>435</v>
      </c>
      <c r="AG37" s="2274" t="s">
        <v>434</v>
      </c>
      <c r="AH37" s="2275"/>
      <c r="AI37" s="2275"/>
      <c r="AJ37" s="2275"/>
      <c r="AK37" s="2275"/>
      <c r="AL37" s="2275"/>
      <c r="AM37" s="2275"/>
      <c r="AN37" s="2275"/>
      <c r="AO37" s="2275"/>
      <c r="AP37" s="2276"/>
      <c r="AQ37" s="2277" t="s">
        <v>436</v>
      </c>
      <c r="AR37" s="2280" t="s">
        <v>437</v>
      </c>
      <c r="AS37" s="2127"/>
      <c r="AY37" s="1155">
        <v>14</v>
      </c>
    </row>
    <row customHeight="1" ht="19.95">
      <c r="Q38" s="376"/>
      <c r="R38" s="376"/>
      <c r="S38" s="2273"/>
      <c r="T38" s="2209"/>
      <c r="U38" s="1031"/>
      <c r="V38" s="2366" t="s">
        <v>540</v>
      </c>
      <c r="W38" s="2365" t="s">
        <v>541</v>
      </c>
      <c r="X38" s="2365"/>
      <c r="Y38" s="2365"/>
      <c r="Z38" s="2365" t="s">
        <v>542</v>
      </c>
      <c r="AA38" s="2365"/>
      <c r="AB38" s="2365"/>
      <c r="AC38" s="2294" t="s">
        <v>441</v>
      </c>
      <c r="AD38" s="2313"/>
      <c r="AE38" s="2314"/>
      <c r="AF38" s="2278"/>
      <c r="AG38" s="2366" t="s">
        <v>540</v>
      </c>
      <c r="AH38" s="2365" t="s">
        <v>541</v>
      </c>
      <c r="AI38" s="2365"/>
      <c r="AJ38" s="2365"/>
      <c r="AK38" s="2365" t="s">
        <v>542</v>
      </c>
      <c r="AL38" s="2365"/>
      <c r="AM38" s="2365"/>
      <c r="AN38" s="2294" t="s">
        <v>441</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543</v>
      </c>
      <c r="X39" s="2365" t="s">
        <v>544</v>
      </c>
      <c r="Y39" s="2365"/>
      <c r="Z39" s="2365" t="s">
        <v>545</v>
      </c>
      <c r="AA39" s="2365" t="s">
        <v>544</v>
      </c>
      <c r="AB39" s="2365"/>
      <c r="AC39" s="2295"/>
      <c r="AD39" s="2315"/>
      <c r="AE39" s="2316"/>
      <c r="AF39" s="2278"/>
      <c r="AG39" s="2366"/>
      <c r="AH39" s="2365" t="s">
        <v>543</v>
      </c>
      <c r="AI39" s="2365" t="s">
        <v>544</v>
      </c>
      <c r="AJ39" s="2365"/>
      <c r="AK39" s="2365" t="s">
        <v>545</v>
      </c>
      <c r="AL39" s="2365" t="s">
        <v>544</v>
      </c>
      <c r="AM39" s="2365"/>
      <c r="AN39" s="2295"/>
      <c r="AO39" s="2315"/>
      <c r="AP39" s="2316"/>
      <c r="AQ39" s="2278"/>
      <c r="AR39" s="2281"/>
      <c r="AS39" s="2127"/>
      <c r="AT39" s="1636"/>
      <c r="AU39" s="1636"/>
      <c r="AV39" s="1636"/>
      <c r="AW39" s="1636"/>
      <c r="AX39" s="1636"/>
      <c r="AY39" s="1631">
        <v>19</v>
      </c>
    </row>
    <row customHeight="1" ht="61.949999999999996">
      <c r="A40" s="1370"/>
      <c r="B40" s="1370" t="s">
        <v>139</v>
      </c>
      <c r="C40" s="1370" t="s">
        <v>140</v>
      </c>
      <c r="D40" s="1370" t="s">
        <v>141</v>
      </c>
      <c r="E40" s="1364" t="s">
        <v>442</v>
      </c>
      <c r="F40" s="1364" t="s">
        <v>443</v>
      </c>
      <c r="G40" s="1364" t="s">
        <v>444</v>
      </c>
      <c r="H40" s="1364"/>
      <c r="I40" s="1364" t="s">
        <v>498</v>
      </c>
      <c r="J40" s="1364" t="s">
        <v>447</v>
      </c>
      <c r="K40" s="1364" t="s">
        <v>499</v>
      </c>
      <c r="L40" s="1364" t="s">
        <v>423</v>
      </c>
      <c r="Q40" s="376"/>
      <c r="R40" s="376"/>
      <c r="S40" s="2273"/>
      <c r="T40" s="2209"/>
      <c r="U40" s="302"/>
      <c r="V40" s="2366"/>
      <c r="W40" s="2365"/>
      <c r="X40" s="1983" t="s">
        <v>546</v>
      </c>
      <c r="Y40" s="1983" t="s">
        <v>547</v>
      </c>
      <c r="Z40" s="2365"/>
      <c r="AA40" s="1983" t="s">
        <v>548</v>
      </c>
      <c r="AB40" s="1983" t="s">
        <v>549</v>
      </c>
      <c r="AC40" s="1489" t="s">
        <v>451</v>
      </c>
      <c r="AD40" s="2270" t="s">
        <v>452</v>
      </c>
      <c r="AE40" s="2271"/>
      <c r="AF40" s="2279"/>
      <c r="AG40" s="2366"/>
      <c r="AH40" s="2365"/>
      <c r="AI40" s="1983" t="s">
        <v>546</v>
      </c>
      <c r="AJ40" s="1983" t="s">
        <v>547</v>
      </c>
      <c r="AK40" s="2365"/>
      <c r="AL40" s="1983" t="s">
        <v>548</v>
      </c>
      <c r="AM40" s="1983" t="s">
        <v>549</v>
      </c>
      <c r="AN40" s="1489" t="s">
        <v>451</v>
      </c>
      <c r="AO40" s="2270" t="s">
        <v>452</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113</v>
      </c>
      <c r="T41" s="1255" t="s">
        <v>114</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259</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127</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259</v>
      </c>
      <c r="B43" s="1363" t="s">
        <v>260</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405</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406</v>
      </c>
      <c r="AU43" s="500"/>
      <c r="AV43" s="500" t="str">
        <f>IF(T43="","",T43)</f>
        <v>Территория действия тарифа</v>
      </c>
      <c r="AW43" s="500"/>
      <c r="AX43" s="500"/>
      <c r="AY43" s="1155">
        <v>23</v>
      </c>
    </row>
    <row customHeight="1" ht="24">
      <c r="A44" s="1363" t="s">
        <v>259</v>
      </c>
      <c r="B44" s="1363" t="s">
        <v>260</v>
      </c>
      <c r="C44" s="1363" t="s">
        <v>261</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538</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539</v>
      </c>
      <c r="AU44" s="500"/>
      <c r="AV44" s="500" t="str">
        <f>IF(T44="","",T44)</f>
        <v>Наименование централизованной системы горячего водоснабжения</v>
      </c>
      <c r="AW44" s="500"/>
      <c r="AX44" s="500"/>
      <c r="AY44" s="1155">
        <v>23</v>
      </c>
    </row>
    <row customHeight="1" ht="24">
      <c r="A45" s="1363" t="s">
        <v>259</v>
      </c>
      <c r="B45" s="1363" t="s">
        <v>260</v>
      </c>
      <c r="C45" s="1363" t="s">
        <v>261</v>
      </c>
      <c r="D45" s="1363" t="s">
        <v>550</v>
      </c>
      <c r="E45" s="2259"/>
      <c r="F45" s="2259"/>
      <c r="G45" s="2259"/>
      <c r="H45" s="2259"/>
      <c r="I45" s="2256" t="str">
        <f>S44&amp;".1"</f>
        <v>...1</v>
      </c>
      <c r="J45" s="1363"/>
      <c r="K45" s="1363"/>
      <c r="L45" s="1364"/>
      <c r="P45" s="2257">
        <v>1</v>
      </c>
      <c r="Q45" s="1481"/>
      <c r="R45" s="356"/>
      <c r="S45" s="1493" t="str">
        <f>$I45</f>
        <v>...1</v>
      </c>
      <c r="T45" s="285" t="s">
        <v>491</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492</v>
      </c>
      <c r="AU45" s="500"/>
      <c r="AV45" s="500" t="str">
        <f>IF(T45="","",T45)</f>
        <v>Наименование признака дифференциации</v>
      </c>
      <c r="AW45" s="500"/>
      <c r="AX45" s="500"/>
      <c r="AY45" s="1155">
        <v>23</v>
      </c>
    </row>
    <row customHeight="1" ht="24">
      <c r="A46" s="1363" t="s">
        <v>259</v>
      </c>
      <c r="B46" s="1363" t="s">
        <v>260</v>
      </c>
      <c r="C46" s="1363" t="s">
        <v>261</v>
      </c>
      <c r="D46" s="1363" t="s">
        <v>550</v>
      </c>
      <c r="E46" s="2259"/>
      <c r="F46" s="2259"/>
      <c r="G46" s="2259"/>
      <c r="H46" s="2259"/>
      <c r="I46" s="2286"/>
      <c r="J46" s="2256" t="str">
        <f>I45&amp;".1"</f>
        <v>...1.1</v>
      </c>
      <c r="K46" s="1363"/>
      <c r="L46" s="1364" t="s">
        <v>414</v>
      </c>
      <c r="P46" s="2257"/>
      <c r="Q46" s="2257">
        <v>1</v>
      </c>
      <c r="R46" s="357"/>
      <c r="S46" s="1493" t="str">
        <f>$J46</f>
        <v>...1.1</v>
      </c>
      <c r="T46" s="286" t="s">
        <v>415</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493</v>
      </c>
      <c r="AU46" s="500"/>
      <c r="AV46" s="500" t="str">
        <f>IF(T46="","",T46)</f>
        <v>Группа потребителей</v>
      </c>
      <c r="AW46" s="500"/>
      <c r="AX46" s="500"/>
      <c r="AY46" s="1155">
        <v>23</v>
      </c>
    </row>
    <row customHeight="1" ht="24">
      <c r="A47" s="1363" t="s">
        <v>259</v>
      </c>
      <c r="B47" s="1363" t="s">
        <v>260</v>
      </c>
      <c r="C47" s="1363" t="s">
        <v>261</v>
      </c>
      <c r="D47" s="1363" t="s">
        <v>550</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70</v>
      </c>
      <c r="AE47" s="2267"/>
      <c r="AF47" s="2268" t="s">
        <v>70</v>
      </c>
      <c r="AG47" s="751"/>
      <c r="AH47" s="751"/>
      <c r="AI47" s="751"/>
      <c r="AJ47" s="751"/>
      <c r="AK47" s="751"/>
      <c r="AL47" s="751"/>
      <c r="AM47" s="751"/>
      <c r="AN47" s="2265"/>
      <c r="AO47" s="2107" t="s">
        <v>70</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259</v>
      </c>
      <c r="B48" s="1363" t="s">
        <v>260</v>
      </c>
      <c r="C48" s="1363" t="s">
        <v>261</v>
      </c>
      <c r="D48" s="1363" t="s">
        <v>550</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259</v>
      </c>
      <c r="B49" s="1363" t="s">
        <v>260</v>
      </c>
      <c r="C49" s="1363" t="s">
        <v>261</v>
      </c>
      <c r="D49" s="1363" t="s">
        <v>550</v>
      </c>
      <c r="E49" s="2259"/>
      <c r="F49" s="2259"/>
      <c r="G49" s="2259"/>
      <c r="H49" s="2259"/>
      <c r="I49" s="2286"/>
      <c r="J49" s="2256"/>
      <c r="K49" s="1363"/>
      <c r="L49" s="1364"/>
      <c r="P49" s="2257"/>
      <c r="Q49" s="2257"/>
      <c r="R49" s="356"/>
      <c r="S49" s="1278"/>
      <c r="T49" s="287" t="s">
        <v>494</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495</v>
      </c>
      <c r="AU49" s="500"/>
      <c r="AV49" s="500" t="str">
        <f>IF(T49="","",T49)</f>
        <v>Добавить значение признака дифференциации</v>
      </c>
      <c r="AW49" s="500"/>
      <c r="AX49" s="500"/>
      <c r="AY49" s="1155">
        <v>20</v>
      </c>
    </row>
    <row customHeight="1" ht="22.049999999999997">
      <c r="A50" s="1363" t="s">
        <v>259</v>
      </c>
      <c r="B50" s="1363" t="s">
        <v>260</v>
      </c>
      <c r="C50" s="1363" t="s">
        <v>261</v>
      </c>
      <c r="D50" s="1363" t="s">
        <v>550</v>
      </c>
      <c r="E50" s="2259"/>
      <c r="F50" s="2259"/>
      <c r="G50" s="2259"/>
      <c r="H50" s="2259"/>
      <c r="I50" s="2256"/>
      <c r="J50" s="1363"/>
      <c r="K50" s="1363"/>
      <c r="L50" s="1364"/>
      <c r="P50" s="2257"/>
      <c r="Q50" s="1481"/>
      <c r="R50" s="356"/>
      <c r="S50" s="1278"/>
      <c r="T50" s="365" t="s">
        <v>420</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259</v>
      </c>
      <c r="B51" s="1363" t="s">
        <v>260</v>
      </c>
      <c r="C51" s="1363" t="s">
        <v>261</v>
      </c>
      <c r="D51" s="1363" t="s">
        <v>550</v>
      </c>
      <c r="E51" s="2259"/>
      <c r="F51" s="2259"/>
      <c r="G51" s="2259"/>
      <c r="H51" s="2258"/>
      <c r="I51" s="1363"/>
      <c r="J51" s="1363"/>
      <c r="K51" s="1363"/>
      <c r="L51" s="1364"/>
      <c r="M51" s="1365"/>
      <c r="N51" s="1365"/>
      <c r="O51" s="537"/>
      <c r="P51" s="360"/>
      <c r="Q51" s="375"/>
      <c r="R51" s="355"/>
      <c r="S51" s="1278"/>
      <c r="T51" s="372" t="s">
        <v>496</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259</v>
      </c>
      <c r="B52" s="1343" t="s">
        <v>260</v>
      </c>
      <c r="C52" s="1314"/>
      <c r="D52" s="1314"/>
      <c r="E52" s="2259"/>
      <c r="F52" s="2258"/>
      <c r="G52" s="1314"/>
      <c r="H52" s="1314"/>
      <c r="I52" s="1314"/>
      <c r="J52" s="1314"/>
      <c r="K52" s="1314"/>
      <c r="L52" s="1494"/>
      <c r="M52" s="1321"/>
      <c r="N52" s="1321"/>
      <c r="P52" s="1316"/>
      <c r="Q52" s="1317"/>
      <c r="R52" s="1316"/>
      <c r="S52" s="1322"/>
      <c r="T52" s="1325" t="s">
        <v>173</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259</v>
      </c>
      <c r="B53" s="1343"/>
      <c r="C53" s="1343"/>
      <c r="D53" s="1343"/>
      <c r="E53" s="2258"/>
      <c r="F53" s="1343"/>
      <c r="G53" s="1343"/>
      <c r="H53" s="1343"/>
      <c r="I53" s="1343"/>
      <c r="J53" s="1343"/>
      <c r="K53" s="1343"/>
      <c r="L53" s="1346"/>
      <c r="M53" s="1321"/>
      <c r="N53" s="1321"/>
      <c r="O53" s="518"/>
      <c r="P53" s="380"/>
      <c r="Q53" s="1344"/>
      <c r="R53" s="380"/>
      <c r="S53" s="1322"/>
      <c r="T53" s="1325" t="s">
        <v>174</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175</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86</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3E85EF-CB64-B295-1528-074E39F8C5E6}"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127</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405</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406</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538</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539</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491</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492</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414</v>
      </c>
      <c r="P6" s="2257"/>
      <c r="Q6" s="2257">
        <v>1</v>
      </c>
      <c r="R6" s="357"/>
      <c r="S6" s="1493">
        <f>$J6</f>
      </c>
      <c r="T6" s="286" t="s">
        <v>415</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493</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70</v>
      </c>
      <c r="AE7" s="2265"/>
      <c r="AF7" s="2107" t="s">
        <v>70</v>
      </c>
      <c r="AG7" s="751"/>
      <c r="AH7" s="751"/>
      <c r="AI7" s="751"/>
      <c r="AJ7" s="751"/>
      <c r="AK7" s="751"/>
      <c r="AL7" s="751"/>
      <c r="AM7" s="1257"/>
      <c r="AN7" s="2265"/>
      <c r="AO7" s="2107" t="s">
        <v>70</v>
      </c>
      <c r="AP7" s="2287"/>
      <c r="AQ7" s="2107" t="s">
        <v>70</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494</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495</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420</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496</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173</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174</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70</v>
      </c>
      <c r="AP15" s="2267"/>
      <c r="AQ15" s="2268" t="s">
        <v>70</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422</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423</v>
      </c>
      <c r="P20" s="1362"/>
      <c r="Q20" s="1442"/>
      <c r="R20" s="1442"/>
      <c r="S20" s="729"/>
      <c r="T20" s="1160" t="s">
        <v>424</v>
      </c>
      <c r="W20" s="1366"/>
      <c r="X20" s="1366"/>
      <c r="Y20" s="1366"/>
      <c r="Z20" s="1366"/>
      <c r="AA20" s="1366"/>
      <c r="AD20" s="186" t="s">
        <v>425</v>
      </c>
      <c r="AF20" s="186" t="s">
        <v>426</v>
      </c>
      <c r="AG20" s="1160" t="s">
        <v>424</v>
      </c>
      <c r="AH20" s="1366"/>
      <c r="AI20" s="1366"/>
      <c r="AJ20" s="1366"/>
      <c r="AK20" s="1366"/>
      <c r="AL20" s="1366"/>
      <c r="AO20" s="186" t="s">
        <v>427</v>
      </c>
      <c r="AQ20" s="186" t="s">
        <v>426</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ООО "Энерго-Сервис"</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тарифам и ценам Курской области</v>
      </c>
      <c r="W27" s="2251"/>
      <c r="X27" s="2251"/>
      <c r="Y27" s="2251"/>
      <c r="Z27" s="2251"/>
      <c r="AA27" s="2251"/>
      <c r="AB27" s="2251"/>
      <c r="AC27" s="2251"/>
      <c r="AD27" s="2251"/>
      <c r="AE27" s="2251"/>
      <c r="AF27" s="326"/>
      <c r="AG27" s="2251" t="str">
        <f>IF(TITLE_NAME_OR_PR_CHANGE="",IF(TITLE_NAME_OR_PR="","",TITLE_NAME_OR_PR),TITLE_NAME_OR_PR_CHANGE)</f>
        <v>Комитет по тарифам и ценам Курской области</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c r="A28" s="1368"/>
      <c r="B28" s="1368"/>
      <c r="C28" s="1368"/>
      <c r="D28" s="1368"/>
      <c r="E28" s="1368"/>
      <c r="F28" s="1368"/>
      <c r="G28" s="1368"/>
      <c r="H28" s="1368"/>
      <c r="I28" s="1368"/>
      <c r="J28" s="1368"/>
      <c r="K28" s="1368"/>
      <c r="L28" s="1369"/>
      <c r="M28" s="1368"/>
      <c r="N28" s="1368"/>
      <c r="O28" s="1368"/>
      <c r="S28" s="2250" t="s">
        <v>428</v>
      </c>
      <c r="T28" s="2250"/>
      <c r="U28" s="1372"/>
      <c r="V28" s="2264" t="str">
        <f>IF(TITLE_DATE_PR_CHANGE="",IF(TITLE_DATE_PR="","",TITLE_DATE_PR),TITLE_DATE_PR_CHANGE)</f>
        <v>46010</v>
      </c>
      <c r="W28" s="2264"/>
      <c r="X28" s="2264"/>
      <c r="Y28" s="2264"/>
      <c r="Z28" s="2264"/>
      <c r="AA28" s="2264"/>
      <c r="AB28" s="2264"/>
      <c r="AC28" s="2264"/>
      <c r="AD28" s="2264"/>
      <c r="AE28" s="2264"/>
      <c r="AF28" s="326"/>
      <c r="AG28" s="2264" t="str">
        <f>IF(TITLE_DATE_PR_CHANGE="",IF(TITLE_DATE_PR="","",TITLE_DATE_PR),TITLE_DATE_PR_CHANGE)</f>
        <v>46010</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c r="A29" s="1368"/>
      <c r="B29" s="1368"/>
      <c r="C29" s="1368"/>
      <c r="D29" s="1368"/>
      <c r="E29" s="1368"/>
      <c r="F29" s="1368"/>
      <c r="G29" s="1368"/>
      <c r="H29" s="1368"/>
      <c r="I29" s="1368"/>
      <c r="J29" s="1368"/>
      <c r="K29" s="1368"/>
      <c r="L29" s="1369"/>
      <c r="M29" s="1368"/>
      <c r="N29" s="1368"/>
      <c r="O29" s="1368"/>
      <c r="S29" s="2250" t="s">
        <v>429</v>
      </c>
      <c r="T29" s="2250"/>
      <c r="U29" s="1372"/>
      <c r="V29" s="2251" t="str">
        <f>IF(TITLE_NUMBER_PR_CHANGE="",IF(TITLE_NUMBER_PR="","",TITLE_NUMBER_PR),TITLE_NUMBER_PR_CHANGE)</f>
        <v>66</v>
      </c>
      <c r="W29" s="2251"/>
      <c r="X29" s="2251"/>
      <c r="Y29" s="2251"/>
      <c r="Z29" s="2251"/>
      <c r="AA29" s="2251"/>
      <c r="AB29" s="2251"/>
      <c r="AC29" s="2251"/>
      <c r="AD29" s="2251"/>
      <c r="AE29" s="2251"/>
      <c r="AF29" s="326"/>
      <c r="AG29" s="2251" t="str">
        <f>IF(TITLE_NUMBER_PR_CHANGE="",IF(TITLE_NUMBER_PR="","",TITLE_NUMBER_PR),TITLE_NUMBER_PR_CHANGE)</f>
        <v>66</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https://kurskpravo.ru/accepted-npa-prewev/2528</v>
      </c>
      <c r="W30" s="2251"/>
      <c r="X30" s="2251"/>
      <c r="Y30" s="2251"/>
      <c r="Z30" s="2251"/>
      <c r="AA30" s="2251"/>
      <c r="AB30" s="2251"/>
      <c r="AC30" s="2251"/>
      <c r="AD30" s="2251"/>
      <c r="AE30" s="2251"/>
      <c r="AF30" s="326"/>
      <c r="AG30" s="2251" t="str">
        <f>IF(TITLE_IST_PUB_CHANGE="",IF(TITLE_IST_PUB="","",TITLE_IST_PUB),TITLE_IST_PUB_CHANGE)</f>
        <v>https://kurskpravo.ru/accepted-npa-prewev/2528</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430</v>
      </c>
      <c r="T32" s="2250"/>
      <c r="U32" s="1372"/>
      <c r="V32" s="2264" t="str">
        <f>IF(TITLE_DATE_PR_CHANGE="",IF(TITLE_DATE_PR="","",TITLE_DATE_PR),TITLE_DATE_PR_CHANGE)</f>
        <v>46010</v>
      </c>
      <c r="W32" s="2264"/>
      <c r="X32" s="2264"/>
      <c r="Y32" s="2264"/>
      <c r="Z32" s="2264"/>
      <c r="AA32" s="2264"/>
      <c r="AB32" s="2264"/>
      <c r="AC32" s="2264"/>
      <c r="AD32" s="2264"/>
      <c r="AE32" s="2264"/>
      <c r="AF32" s="326"/>
      <c r="AG32" s="2264" t="str">
        <f>IF(TITLE_DATE_PR_CHANGE="",IF(TITLE_DATE_PR="","",TITLE_DATE_PR),TITLE_DATE_PR_CHANGE)</f>
        <v>46010</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431</v>
      </c>
      <c r="T33" s="2250"/>
      <c r="U33" s="1372"/>
      <c r="V33" s="2251" t="str">
        <f>IF(TITLE_NUMBER_PR_CHANGE="",IF(TITLE_NUMBER_PR="","",TITLE_NUMBER_PR),TITLE_NUMBER_PR_CHANGE)</f>
        <v>66</v>
      </c>
      <c r="W33" s="2251"/>
      <c r="X33" s="2251"/>
      <c r="Y33" s="2251"/>
      <c r="Z33" s="2251"/>
      <c r="AA33" s="2251"/>
      <c r="AB33" s="2251"/>
      <c r="AC33" s="2251"/>
      <c r="AD33" s="2251"/>
      <c r="AE33" s="2251"/>
      <c r="AF33" s="326"/>
      <c r="AG33" s="2251" t="str">
        <f>IF(TITLE_NUMBER_PR_CHANGE="",IF(TITLE_NUMBER_PR="","",TITLE_NUMBER_PR),TITLE_NUMBER_PR_CHANGE)</f>
        <v>66</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432</v>
      </c>
      <c r="AG34" s="326"/>
      <c r="AH34" s="1635"/>
      <c r="AI34" s="1635"/>
      <c r="AJ34" s="1635"/>
      <c r="AK34" s="1635"/>
      <c r="AL34" s="1635"/>
      <c r="AM34" s="326"/>
      <c r="AN34" s="326"/>
      <c r="AO34" s="326"/>
      <c r="AP34" s="326"/>
      <c r="AQ34" s="278" t="s">
        <v>432</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308</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309</v>
      </c>
      <c r="AY36" s="1155">
        <v>14</v>
      </c>
    </row>
    <row customHeight="1" ht="14.699999999999998">
      <c r="Q37" s="376"/>
      <c r="R37" s="376"/>
      <c r="S37" s="2273" t="s">
        <v>92</v>
      </c>
      <c r="T37" s="2209" t="s">
        <v>433</v>
      </c>
      <c r="U37" s="301"/>
      <c r="V37" s="2274" t="s">
        <v>434</v>
      </c>
      <c r="W37" s="2275"/>
      <c r="X37" s="2275"/>
      <c r="Y37" s="2275"/>
      <c r="Z37" s="2275"/>
      <c r="AA37" s="2275"/>
      <c r="AB37" s="2275"/>
      <c r="AC37" s="2275"/>
      <c r="AD37" s="2275"/>
      <c r="AE37" s="2276"/>
      <c r="AF37" s="2277" t="s">
        <v>435</v>
      </c>
      <c r="AG37" s="2274" t="s">
        <v>434</v>
      </c>
      <c r="AH37" s="2275"/>
      <c r="AI37" s="2275"/>
      <c r="AJ37" s="2275"/>
      <c r="AK37" s="2275"/>
      <c r="AL37" s="2275"/>
      <c r="AM37" s="2275"/>
      <c r="AN37" s="2275"/>
      <c r="AO37" s="2275"/>
      <c r="AP37" s="2276"/>
      <c r="AQ37" s="2277" t="s">
        <v>436</v>
      </c>
      <c r="AR37" s="2280" t="s">
        <v>437</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540</v>
      </c>
      <c r="W38" s="2365" t="s">
        <v>541</v>
      </c>
      <c r="X38" s="2365"/>
      <c r="Y38" s="2365"/>
      <c r="Z38" s="2365" t="s">
        <v>542</v>
      </c>
      <c r="AA38" s="2365"/>
      <c r="AB38" s="2365"/>
      <c r="AC38" s="2294" t="s">
        <v>441</v>
      </c>
      <c r="AD38" s="2313"/>
      <c r="AE38" s="2314"/>
      <c r="AF38" s="2278"/>
      <c r="AG38" s="2366" t="s">
        <v>540</v>
      </c>
      <c r="AH38" s="2365" t="s">
        <v>541</v>
      </c>
      <c r="AI38" s="2365"/>
      <c r="AJ38" s="2365"/>
      <c r="AK38" s="2365" t="s">
        <v>542</v>
      </c>
      <c r="AL38" s="2365"/>
      <c r="AM38" s="2365"/>
      <c r="AN38" s="2294" t="s">
        <v>441</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543</v>
      </c>
      <c r="X39" s="2365" t="s">
        <v>544</v>
      </c>
      <c r="Y39" s="2365"/>
      <c r="Z39" s="2365" t="s">
        <v>545</v>
      </c>
      <c r="AA39" s="2365" t="s">
        <v>544</v>
      </c>
      <c r="AB39" s="2365"/>
      <c r="AC39" s="2295"/>
      <c r="AD39" s="2315"/>
      <c r="AE39" s="2316"/>
      <c r="AF39" s="2278"/>
      <c r="AG39" s="2366"/>
      <c r="AH39" s="2365" t="s">
        <v>543</v>
      </c>
      <c r="AI39" s="2365" t="s">
        <v>544</v>
      </c>
      <c r="AJ39" s="2365"/>
      <c r="AK39" s="2365" t="s">
        <v>545</v>
      </c>
      <c r="AL39" s="2365" t="s">
        <v>544</v>
      </c>
      <c r="AM39" s="2365"/>
      <c r="AN39" s="2295"/>
      <c r="AO39" s="2315"/>
      <c r="AP39" s="2316"/>
      <c r="AQ39" s="2278"/>
      <c r="AR39" s="2281"/>
      <c r="AS39" s="2127"/>
      <c r="AY39" s="1155">
        <v>19</v>
      </c>
    </row>
    <row customHeight="1" ht="61.949999999999996">
      <c r="A40" s="1370"/>
      <c r="B40" s="1370" t="s">
        <v>139</v>
      </c>
      <c r="C40" s="1370" t="s">
        <v>140</v>
      </c>
      <c r="D40" s="1370" t="s">
        <v>141</v>
      </c>
      <c r="E40" s="1364" t="s">
        <v>442</v>
      </c>
      <c r="F40" s="1364" t="s">
        <v>443</v>
      </c>
      <c r="G40" s="1364" t="s">
        <v>444</v>
      </c>
      <c r="H40" s="1364"/>
      <c r="I40" s="1364" t="s">
        <v>498</v>
      </c>
      <c r="J40" s="1364" t="s">
        <v>447</v>
      </c>
      <c r="K40" s="1364" t="s">
        <v>499</v>
      </c>
      <c r="L40" s="1364" t="s">
        <v>423</v>
      </c>
      <c r="Q40" s="376"/>
      <c r="R40" s="376"/>
      <c r="S40" s="2273"/>
      <c r="T40" s="2209"/>
      <c r="U40" s="302"/>
      <c r="V40" s="2366"/>
      <c r="W40" s="2365"/>
      <c r="X40" s="1983" t="s">
        <v>546</v>
      </c>
      <c r="Y40" s="1983" t="s">
        <v>547</v>
      </c>
      <c r="Z40" s="2365"/>
      <c r="AA40" s="1983" t="s">
        <v>548</v>
      </c>
      <c r="AB40" s="1983" t="s">
        <v>549</v>
      </c>
      <c r="AC40" s="1489" t="s">
        <v>451</v>
      </c>
      <c r="AD40" s="2270" t="s">
        <v>452</v>
      </c>
      <c r="AE40" s="2271"/>
      <c r="AF40" s="2279"/>
      <c r="AG40" s="2366"/>
      <c r="AH40" s="2365"/>
      <c r="AI40" s="1983" t="s">
        <v>546</v>
      </c>
      <c r="AJ40" s="1983" t="s">
        <v>547</v>
      </c>
      <c r="AK40" s="2365"/>
      <c r="AL40" s="1983" t="s">
        <v>548</v>
      </c>
      <c r="AM40" s="1983" t="s">
        <v>549</v>
      </c>
      <c r="AN40" s="1489" t="s">
        <v>451</v>
      </c>
      <c r="AO40" s="2270" t="s">
        <v>452</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113</v>
      </c>
      <c r="T41" s="1255" t="s">
        <v>114</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264</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127</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264</v>
      </c>
      <c r="B43" s="1363" t="s">
        <v>265</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405</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406</v>
      </c>
      <c r="AU43" s="500"/>
      <c r="AV43" s="500" t="str">
        <f>IF(T43="","",T43)</f>
        <v>Территория действия тарифа</v>
      </c>
      <c r="AW43" s="500"/>
      <c r="AX43" s="500"/>
      <c r="AY43" s="1155">
        <v>23</v>
      </c>
    </row>
    <row customHeight="1" ht="24">
      <c r="A44" s="1363" t="s">
        <v>264</v>
      </c>
      <c r="B44" s="1363" t="s">
        <v>265</v>
      </c>
      <c r="C44" s="1363" t="s">
        <v>266</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538</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539</v>
      </c>
      <c r="AU44" s="500"/>
      <c r="AV44" s="500" t="str">
        <f>IF(T44="","",T44)</f>
        <v>Наименование централизованной системы горячего водоснабжения</v>
      </c>
      <c r="AW44" s="500"/>
      <c r="AX44" s="500"/>
      <c r="AY44" s="1155">
        <v>23</v>
      </c>
    </row>
    <row customHeight="1" ht="24">
      <c r="A45" s="1363" t="s">
        <v>264</v>
      </c>
      <c r="B45" s="1363" t="s">
        <v>265</v>
      </c>
      <c r="C45" s="1363" t="s">
        <v>266</v>
      </c>
      <c r="D45" s="1363" t="s">
        <v>551</v>
      </c>
      <c r="E45" s="2259"/>
      <c r="F45" s="2259"/>
      <c r="G45" s="2259"/>
      <c r="H45" s="2259"/>
      <c r="I45" s="2256" t="str">
        <f>S44&amp;".1"</f>
        <v>...1</v>
      </c>
      <c r="J45" s="1363"/>
      <c r="K45" s="1363"/>
      <c r="L45" s="1364"/>
      <c r="P45" s="2257">
        <v>1</v>
      </c>
      <c r="Q45" s="1481"/>
      <c r="R45" s="356"/>
      <c r="S45" s="1493" t="str">
        <f>$I45</f>
        <v>...1</v>
      </c>
      <c r="T45" s="285" t="s">
        <v>491</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492</v>
      </c>
      <c r="AU45" s="500"/>
      <c r="AV45" s="500" t="str">
        <f>IF(T45="","",T45)</f>
        <v>Наименование признака дифференциации</v>
      </c>
      <c r="AW45" s="500"/>
      <c r="AX45" s="500"/>
      <c r="AY45" s="1155">
        <v>23</v>
      </c>
    </row>
    <row customHeight="1" ht="24">
      <c r="A46" s="1363" t="s">
        <v>264</v>
      </c>
      <c r="B46" s="1363" t="s">
        <v>265</v>
      </c>
      <c r="C46" s="1363" t="s">
        <v>266</v>
      </c>
      <c r="D46" s="1363" t="s">
        <v>551</v>
      </c>
      <c r="E46" s="2259"/>
      <c r="F46" s="2259"/>
      <c r="G46" s="2259"/>
      <c r="H46" s="2259"/>
      <c r="I46" s="2286"/>
      <c r="J46" s="2256" t="str">
        <f>I45&amp;".1"</f>
        <v>...1.1</v>
      </c>
      <c r="K46" s="1363"/>
      <c r="L46" s="1364" t="s">
        <v>414</v>
      </c>
      <c r="P46" s="2257"/>
      <c r="Q46" s="2257">
        <v>1</v>
      </c>
      <c r="R46" s="357"/>
      <c r="S46" s="1493" t="str">
        <f>$J46</f>
        <v>...1.1</v>
      </c>
      <c r="T46" s="286" t="s">
        <v>415</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493</v>
      </c>
      <c r="AU46" s="500"/>
      <c r="AV46" s="500" t="str">
        <f>IF(T46="","",T46)</f>
        <v>Группа потребителей</v>
      </c>
      <c r="AW46" s="500"/>
      <c r="AX46" s="500"/>
      <c r="AY46" s="1155">
        <v>23</v>
      </c>
    </row>
    <row customHeight="1" ht="24">
      <c r="A47" s="1363" t="s">
        <v>264</v>
      </c>
      <c r="B47" s="1363" t="s">
        <v>265</v>
      </c>
      <c r="C47" s="1363" t="s">
        <v>266</v>
      </c>
      <c r="D47" s="1363" t="s">
        <v>551</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70</v>
      </c>
      <c r="AE47" s="2267"/>
      <c r="AF47" s="2268" t="s">
        <v>70</v>
      </c>
      <c r="AG47" s="751"/>
      <c r="AH47" s="751"/>
      <c r="AI47" s="751"/>
      <c r="AJ47" s="751"/>
      <c r="AK47" s="751"/>
      <c r="AL47" s="751"/>
      <c r="AM47" s="1257"/>
      <c r="AN47" s="2265"/>
      <c r="AO47" s="2107" t="s">
        <v>70</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264</v>
      </c>
      <c r="B48" s="1363" t="s">
        <v>265</v>
      </c>
      <c r="C48" s="1363" t="s">
        <v>266</v>
      </c>
      <c r="D48" s="1363" t="s">
        <v>551</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264</v>
      </c>
      <c r="B49" s="1363" t="s">
        <v>265</v>
      </c>
      <c r="C49" s="1363" t="s">
        <v>266</v>
      </c>
      <c r="D49" s="1363" t="s">
        <v>551</v>
      </c>
      <c r="E49" s="2259"/>
      <c r="F49" s="2259"/>
      <c r="G49" s="2259"/>
      <c r="H49" s="2259"/>
      <c r="I49" s="2286"/>
      <c r="J49" s="2256"/>
      <c r="K49" s="1363"/>
      <c r="L49" s="1364"/>
      <c r="P49" s="2257"/>
      <c r="Q49" s="2257"/>
      <c r="R49" s="356"/>
      <c r="S49" s="1278"/>
      <c r="T49" s="287" t="s">
        <v>494</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495</v>
      </c>
      <c r="AU49" s="500"/>
      <c r="AV49" s="500" t="str">
        <f>IF(T49="","",T49)</f>
        <v>Добавить значение признака дифференциации</v>
      </c>
      <c r="AW49" s="500"/>
      <c r="AX49" s="500"/>
      <c r="AY49" s="1155">
        <v>20</v>
      </c>
    </row>
    <row customHeight="1" ht="22.049999999999997">
      <c r="A50" s="1363" t="s">
        <v>264</v>
      </c>
      <c r="B50" s="1363" t="s">
        <v>265</v>
      </c>
      <c r="C50" s="1363" t="s">
        <v>266</v>
      </c>
      <c r="D50" s="1363" t="s">
        <v>551</v>
      </c>
      <c r="E50" s="2259"/>
      <c r="F50" s="2259"/>
      <c r="G50" s="2259"/>
      <c r="H50" s="2259"/>
      <c r="I50" s="2256"/>
      <c r="J50" s="1363"/>
      <c r="K50" s="1363"/>
      <c r="L50" s="1364"/>
      <c r="P50" s="2257"/>
      <c r="Q50" s="1481"/>
      <c r="R50" s="356"/>
      <c r="S50" s="1278"/>
      <c r="T50" s="365" t="s">
        <v>420</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264</v>
      </c>
      <c r="B51" s="1363" t="s">
        <v>265</v>
      </c>
      <c r="C51" s="1363" t="s">
        <v>266</v>
      </c>
      <c r="D51" s="1363" t="s">
        <v>551</v>
      </c>
      <c r="E51" s="2259"/>
      <c r="F51" s="2259"/>
      <c r="G51" s="2259"/>
      <c r="H51" s="2258"/>
      <c r="I51" s="1363"/>
      <c r="J51" s="1363"/>
      <c r="K51" s="1363"/>
      <c r="L51" s="1364"/>
      <c r="M51" s="1365"/>
      <c r="N51" s="1365"/>
      <c r="O51" s="537"/>
      <c r="P51" s="360"/>
      <c r="Q51" s="375"/>
      <c r="R51" s="355"/>
      <c r="S51" s="1278"/>
      <c r="T51" s="372" t="s">
        <v>496</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264</v>
      </c>
      <c r="B52" s="1343" t="s">
        <v>265</v>
      </c>
      <c r="C52" s="1314"/>
      <c r="D52" s="1314"/>
      <c r="E52" s="2259"/>
      <c r="F52" s="2258"/>
      <c r="G52" s="1314"/>
      <c r="H52" s="1314"/>
      <c r="I52" s="1314"/>
      <c r="J52" s="1314"/>
      <c r="K52" s="1314"/>
      <c r="L52" s="1494"/>
      <c r="M52" s="1321"/>
      <c r="N52" s="1321"/>
      <c r="P52" s="1316"/>
      <c r="Q52" s="1317"/>
      <c r="R52" s="1316"/>
      <c r="S52" s="1322"/>
      <c r="T52" s="1325" t="s">
        <v>173</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264</v>
      </c>
      <c r="B53" s="1343"/>
      <c r="C53" s="1343"/>
      <c r="D53" s="1343"/>
      <c r="E53" s="2258"/>
      <c r="F53" s="1343"/>
      <c r="G53" s="1343"/>
      <c r="H53" s="1343"/>
      <c r="I53" s="1343"/>
      <c r="J53" s="1343"/>
      <c r="K53" s="1343"/>
      <c r="L53" s="1346"/>
      <c r="M53" s="1321"/>
      <c r="N53" s="1321"/>
      <c r="O53" s="518"/>
      <c r="P53" s="380"/>
      <c r="Q53" s="1344"/>
      <c r="R53" s="380"/>
      <c r="S53" s="1322"/>
      <c r="T53" s="1325" t="s">
        <v>174</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175</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86</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1E2728-F384-2758-FD78-FAC1CC4170F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127</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405</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406</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538</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539</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410</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411</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70</v>
      </c>
      <c r="AB8" s="1734"/>
      <c r="AC8" s="1469" t="s">
        <v>70</v>
      </c>
      <c r="AD8" s="2185" t="s">
        <v>70</v>
      </c>
      <c r="AE8" s="2326"/>
      <c r="AF8" s="2205">
        <v>1</v>
      </c>
      <c r="AG8" s="2363"/>
      <c r="AH8" s="2107" t="s">
        <v>70</v>
      </c>
      <c r="AI8" s="2326"/>
      <c r="AJ8" s="2205">
        <v>1</v>
      </c>
      <c r="AK8" s="2327" t="s">
        <v>28</v>
      </c>
      <c r="AL8" s="2107" t="s">
        <v>70</v>
      </c>
      <c r="AM8" s="2192"/>
      <c r="AN8" s="2205">
        <v>1</v>
      </c>
      <c r="AO8" s="2357"/>
      <c r="AP8" s="2358" t="s">
        <v>70</v>
      </c>
      <c r="AQ8" s="311"/>
      <c r="AR8" s="1486">
        <v>1</v>
      </c>
      <c r="AS8" s="1492" t="s">
        <v>28</v>
      </c>
      <c r="AT8" s="751"/>
      <c r="AU8" s="1257"/>
      <c r="AV8" s="751"/>
      <c r="AW8" s="1257"/>
      <c r="AX8" s="1734"/>
      <c r="AY8" s="1469" t="s">
        <v>70</v>
      </c>
      <c r="AZ8" s="1734"/>
      <c r="BA8" s="1469" t="s">
        <v>70</v>
      </c>
      <c r="BB8" s="1348"/>
      <c r="BC8" s="2253" t="s">
        <v>509</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510</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511</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512</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513</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476</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173</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174</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70</v>
      </c>
      <c r="AZ20" s="1736"/>
      <c r="BA20" s="1485" t="s">
        <v>70</v>
      </c>
      <c r="BI20" s="1155">
        <v>0</v>
      </c>
    </row>
    <row customHeight="1" ht="14.25" hidden="1">
      <c r="BD21" s="496"/>
      <c r="BE21" s="496"/>
      <c r="BF21" s="496"/>
      <c r="BG21" s="496"/>
      <c r="BH21" s="496"/>
      <c r="BI21" s="1155">
        <v>0</v>
      </c>
    </row>
    <row customHeight="1" ht="14.25" hidden="1">
      <c r="O22" s="1367" t="s">
        <v>422</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423</v>
      </c>
      <c r="P24" s="1508"/>
      <c r="Q24" s="1510"/>
      <c r="R24" s="1510"/>
      <c r="AA24" s="1507" t="s">
        <v>425</v>
      </c>
      <c r="AC24" s="1507" t="s">
        <v>426</v>
      </c>
      <c r="AD24" s="1507" t="s">
        <v>477</v>
      </c>
      <c r="AH24" s="1507" t="s">
        <v>477</v>
      </c>
      <c r="AK24" s="1507" t="s">
        <v>514</v>
      </c>
      <c r="AL24" s="1507" t="s">
        <v>477</v>
      </c>
      <c r="AP24" s="1507" t="s">
        <v>477</v>
      </c>
      <c r="AY24" s="1507" t="s">
        <v>425</v>
      </c>
      <c r="BA24" s="1507" t="s">
        <v>426</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ООО "Энерго-Сервис"</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Комитет по тарифам и ценам Курской области</v>
      </c>
      <c r="W31" s="2251"/>
      <c r="X31" s="2251"/>
      <c r="Y31" s="2251"/>
      <c r="Z31" s="2251"/>
      <c r="AA31" s="2251"/>
      <c r="AB31" s="2251"/>
      <c r="AC31" s="326"/>
      <c r="AD31" s="2251" t="str">
        <f>IF(TITLE_NAME_OR_PR_CHANGE="",IF(TITLE_NAME_OR_PR="","",TITLE_NAME_OR_PR),TITLE_NAME_OR_PR_CHANGE)</f>
        <v>Комитет по тарифам и ценам Курской области</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428</v>
      </c>
      <c r="T32" s="2250"/>
      <c r="U32" s="1372"/>
      <c r="V32" s="2264" t="str">
        <f>IF(TITLE_DATE_PR_CHANGE="",IF(TITLE_DATE_PR="","",TITLE_DATE_PR),TITLE_DATE_PR_CHANGE)</f>
        <v>46010</v>
      </c>
      <c r="W32" s="2264"/>
      <c r="X32" s="2264"/>
      <c r="Y32" s="2264"/>
      <c r="Z32" s="2264"/>
      <c r="AA32" s="2264"/>
      <c r="AB32" s="2264"/>
      <c r="AC32" s="326"/>
      <c r="AD32" s="2264" t="str">
        <f>IF(TITLE_DATE_PR_CHANGE="",IF(TITLE_DATE_PR="","",TITLE_DATE_PR),TITLE_DATE_PR_CHANGE)</f>
        <v>46010</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429</v>
      </c>
      <c r="T33" s="2250"/>
      <c r="U33" s="1372"/>
      <c r="V33" s="2251" t="str">
        <f>IF(TITLE_NUMBER_PR_CHANGE="",IF(TITLE_NUMBER_PR="","",TITLE_NUMBER_PR),TITLE_NUMBER_PR_CHANGE)</f>
        <v>66</v>
      </c>
      <c r="W33" s="2251"/>
      <c r="X33" s="2251"/>
      <c r="Y33" s="2251"/>
      <c r="Z33" s="2251"/>
      <c r="AA33" s="2251"/>
      <c r="AB33" s="2251"/>
      <c r="AC33" s="326"/>
      <c r="AD33" s="2251" t="str">
        <f>IF(TITLE_NUMBER_PR_CHANGE="",IF(TITLE_NUMBER_PR="","",TITLE_NUMBER_PR),TITLE_NUMBER_PR_CHANGE)</f>
        <v>66</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c r="A34" s="1368"/>
      <c r="B34" s="1368"/>
      <c r="C34" s="1368"/>
      <c r="D34" s="1368"/>
      <c r="E34" s="1368"/>
      <c r="F34" s="1368"/>
      <c r="G34" s="1368"/>
      <c r="H34" s="1368"/>
      <c r="I34" s="1368"/>
      <c r="J34" s="1368"/>
      <c r="K34" s="1368"/>
      <c r="L34" s="1369"/>
      <c r="M34" s="1368"/>
      <c r="N34" s="1368"/>
      <c r="O34" s="1368"/>
      <c r="P34" s="1368"/>
      <c r="Q34" s="1368"/>
      <c r="S34" s="2250" t="s">
        <v>44</v>
      </c>
      <c r="T34" s="2250"/>
      <c r="U34" s="1372"/>
      <c r="V34" s="2251" t="str">
        <f>IF(TITLE_IST_PUB_CHANGE="",IF(TITLE_IST_PUB="","",TITLE_IST_PUB),TITLE_IST_PUB_CHANGE)</f>
        <v>https://kurskpravo.ru/accepted-npa-prewev/2528</v>
      </c>
      <c r="W34" s="2251"/>
      <c r="X34" s="2251"/>
      <c r="Y34" s="2251"/>
      <c r="Z34" s="2251"/>
      <c r="AA34" s="2251"/>
      <c r="AB34" s="2251"/>
      <c r="AC34" s="326"/>
      <c r="AD34" s="2251" t="str">
        <f>IF(TITLE_IST_PUB_CHANGE="",IF(TITLE_IST_PUB="","",TITLE_IST_PUB),TITLE_IST_PUB_CHANGE)</f>
        <v>https://kurskpravo.ru/accepted-npa-prewev/2528</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428</v>
      </c>
      <c r="T36" s="2250"/>
      <c r="U36" s="1372"/>
      <c r="V36" s="2264" t="str">
        <f>IF(TITLE_DATE_PR_CHANGE="",IF(TITLE_DATE_PR="","",TITLE_DATE_PR),TITLE_DATE_PR_CHANGE)</f>
        <v>46010</v>
      </c>
      <c r="W36" s="2264"/>
      <c r="X36" s="2264"/>
      <c r="Y36" s="2264"/>
      <c r="Z36" s="2264"/>
      <c r="AA36" s="2264"/>
      <c r="AB36" s="2264"/>
      <c r="AC36" s="326"/>
      <c r="AD36" s="2264" t="str">
        <f>IF(TITLE_DATE_PR_CHANGE="",IF(TITLE_DATE_PR="","",TITLE_DATE_PR),TITLE_DATE_PR_CHANGE)</f>
        <v>46010</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429</v>
      </c>
      <c r="T37" s="2250"/>
      <c r="U37" s="1372"/>
      <c r="V37" s="2251" t="str">
        <f>IF(TITLE_NUMBER_PR_CHANGE="",IF(TITLE_NUMBER_PR="","",TITLE_NUMBER_PR),TITLE_NUMBER_PR_CHANGE)</f>
        <v>66</v>
      </c>
      <c r="W37" s="2251"/>
      <c r="X37" s="2251"/>
      <c r="Y37" s="2251"/>
      <c r="Z37" s="2251"/>
      <c r="AA37" s="2251"/>
      <c r="AB37" s="2251"/>
      <c r="AC37" s="326"/>
      <c r="AD37" s="2251" t="str">
        <f>IF(TITLE_NUMBER_PR_CHANGE="",IF(TITLE_NUMBER_PR="","",TITLE_NUMBER_PR),TITLE_NUMBER_PR_CHANGE)</f>
        <v>66</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432</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432</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308</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309</v>
      </c>
      <c r="BI40" s="1155">
        <v>14</v>
      </c>
    </row>
    <row customHeight="1" ht="14.699999999999998">
      <c r="Q41" s="291"/>
      <c r="R41" s="376"/>
      <c r="S41" s="2273" t="s">
        <v>92</v>
      </c>
      <c r="T41" s="2209" t="s">
        <v>515</v>
      </c>
      <c r="U41" s="301"/>
      <c r="V41" s="2274" t="s">
        <v>434</v>
      </c>
      <c r="W41" s="2275"/>
      <c r="X41" s="2275"/>
      <c r="Y41" s="2275"/>
      <c r="Z41" s="2275"/>
      <c r="AA41" s="2275"/>
      <c r="AB41" s="2276"/>
      <c r="AC41" s="2277" t="s">
        <v>435</v>
      </c>
      <c r="AD41" s="2328" t="s">
        <v>516</v>
      </c>
      <c r="AE41" s="2291"/>
      <c r="AF41" s="2291"/>
      <c r="AG41" s="2329"/>
      <c r="AH41" s="2328" t="s">
        <v>517</v>
      </c>
      <c r="AI41" s="2291"/>
      <c r="AJ41" s="2291"/>
      <c r="AK41" s="2329"/>
      <c r="AL41" s="2328" t="s">
        <v>518</v>
      </c>
      <c r="AM41" s="2291"/>
      <c r="AN41" s="2291"/>
      <c r="AO41" s="2329"/>
      <c r="AP41" s="2328" t="s">
        <v>519</v>
      </c>
      <c r="AQ41" s="2291"/>
      <c r="AR41" s="2291"/>
      <c r="AS41" s="2329"/>
      <c r="AT41" s="2274" t="s">
        <v>434</v>
      </c>
      <c r="AU41" s="2275"/>
      <c r="AV41" s="2275"/>
      <c r="AW41" s="2275"/>
      <c r="AX41" s="2275"/>
      <c r="AY41" s="2275"/>
      <c r="AZ41" s="2276"/>
      <c r="BA41" s="2277" t="s">
        <v>435</v>
      </c>
      <c r="BB41" s="2280" t="s">
        <v>437</v>
      </c>
      <c r="BC41" s="2127"/>
      <c r="BI41" s="1155">
        <v>14</v>
      </c>
    </row>
    <row customHeight="1" ht="35.699999999999996">
      <c r="Q42" s="291"/>
      <c r="R42" s="376"/>
      <c r="S42" s="2273"/>
      <c r="T42" s="2209"/>
      <c r="U42" s="1031"/>
      <c r="V42" s="2192" t="s">
        <v>520</v>
      </c>
      <c r="W42" s="2193"/>
      <c r="X42" s="2192" t="s">
        <v>521</v>
      </c>
      <c r="Y42" s="2193"/>
      <c r="Z42" s="2294" t="s">
        <v>522</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520</v>
      </c>
      <c r="AU42" s="2193"/>
      <c r="AV42" s="2192" t="s">
        <v>521</v>
      </c>
      <c r="AW42" s="2193"/>
      <c r="AX42" s="2294" t="s">
        <v>522</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139</v>
      </c>
      <c r="C44" s="1370" t="s">
        <v>140</v>
      </c>
      <c r="D44" s="1370" t="s">
        <v>141</v>
      </c>
      <c r="E44" s="1364" t="s">
        <v>442</v>
      </c>
      <c r="F44" s="1364" t="s">
        <v>443</v>
      </c>
      <c r="G44" s="1364" t="s">
        <v>444</v>
      </c>
      <c r="H44" s="1364" t="s">
        <v>445</v>
      </c>
      <c r="I44" s="1364" t="s">
        <v>446</v>
      </c>
      <c r="J44" s="1364" t="s">
        <v>447</v>
      </c>
      <c r="K44" s="1364" t="s">
        <v>448</v>
      </c>
      <c r="L44" s="1364" t="s">
        <v>423</v>
      </c>
      <c r="Q44" s="291"/>
      <c r="R44" s="376"/>
      <c r="S44" s="2273"/>
      <c r="T44" s="2209"/>
      <c r="U44" s="302"/>
      <c r="V44" s="1479" t="s">
        <v>486</v>
      </c>
      <c r="W44" s="1479" t="s">
        <v>487</v>
      </c>
      <c r="X44" s="1479" t="s">
        <v>486</v>
      </c>
      <c r="Y44" s="1479" t="s">
        <v>487</v>
      </c>
      <c r="Z44" s="1489" t="s">
        <v>451</v>
      </c>
      <c r="AA44" s="2270" t="s">
        <v>452</v>
      </c>
      <c r="AB44" s="2271"/>
      <c r="AC44" s="2279"/>
      <c r="AD44" s="2333"/>
      <c r="AE44" s="2334"/>
      <c r="AF44" s="2334"/>
      <c r="AG44" s="2335"/>
      <c r="AH44" s="2333"/>
      <c r="AI44" s="2334"/>
      <c r="AJ44" s="2334"/>
      <c r="AK44" s="2335"/>
      <c r="AL44" s="2333"/>
      <c r="AM44" s="2334"/>
      <c r="AN44" s="2334"/>
      <c r="AO44" s="2335"/>
      <c r="AP44" s="2333"/>
      <c r="AQ44" s="2334"/>
      <c r="AR44" s="2334"/>
      <c r="AS44" s="2335"/>
      <c r="AT44" s="1479" t="s">
        <v>486</v>
      </c>
      <c r="AU44" s="1479" t="s">
        <v>487</v>
      </c>
      <c r="AV44" s="1479" t="s">
        <v>486</v>
      </c>
      <c r="AW44" s="1479" t="s">
        <v>487</v>
      </c>
      <c r="AX44" s="1489" t="s">
        <v>451</v>
      </c>
      <c r="AY44" s="2270" t="s">
        <v>452</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113</v>
      </c>
      <c r="T45" s="1255" t="s">
        <v>114</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269</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127</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269</v>
      </c>
      <c r="B47" s="1363" t="s">
        <v>270</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405</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406</v>
      </c>
      <c r="BE47" s="500"/>
      <c r="BF47" s="500" t="str">
        <f>IF(T47="","",T47)</f>
        <v>Территория действия тарифа</v>
      </c>
      <c r="BG47" s="500"/>
      <c r="BH47" s="500"/>
      <c r="BI47" s="1155">
        <v>21</v>
      </c>
    </row>
    <row customHeight="1" ht="35.699999999999996">
      <c r="A48" s="1363" t="s">
        <v>269</v>
      </c>
      <c r="B48" s="1363" t="s">
        <v>270</v>
      </c>
      <c r="C48" s="1363" t="s">
        <v>271</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538</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539</v>
      </c>
      <c r="BE48" s="500"/>
      <c r="BF48" s="500" t="str">
        <f>IF(T48="","",T48)</f>
        <v>Наименование централизованной системы горячего водоснабжения</v>
      </c>
      <c r="BG48" s="500"/>
      <c r="BH48" s="500"/>
      <c r="BI48" s="1155">
        <v>34</v>
      </c>
    </row>
    <row s="1642" customFormat="1" customHeight="1" ht="0">
      <c r="A49" s="1343" t="s">
        <v>269</v>
      </c>
      <c r="B49" s="1343" t="s">
        <v>270</v>
      </c>
      <c r="C49" s="1343" t="s">
        <v>271</v>
      </c>
      <c r="D49" s="1343" t="s">
        <v>552</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410</v>
      </c>
      <c r="BE49" s="500"/>
      <c r="BF49" s="500" t="str">
        <f>IF(T49="","",T49)</f>
        <v/>
      </c>
      <c r="BG49" s="500"/>
      <c r="BH49" s="500"/>
      <c r="BI49" s="511">
        <v>0</v>
      </c>
    </row>
    <row s="1642" customFormat="1" customHeight="1" ht="0">
      <c r="A50" s="1343" t="s">
        <v>269</v>
      </c>
      <c r="B50" s="1343" t="s">
        <v>270</v>
      </c>
      <c r="C50" s="1343" t="s">
        <v>271</v>
      </c>
      <c r="D50" s="1343" t="s">
        <v>552</v>
      </c>
      <c r="E50" s="2259"/>
      <c r="F50" s="2259"/>
      <c r="G50" s="2259"/>
      <c r="H50" s="2259"/>
      <c r="I50" s="2256" t="str">
        <f>S49&amp;".1"</f>
        <v>.1</v>
      </c>
      <c r="J50" s="1343"/>
      <c r="K50" s="1343"/>
      <c r="L50" s="1346" t="s">
        <v>411</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269</v>
      </c>
      <c r="B51" s="1343" t="s">
        <v>270</v>
      </c>
      <c r="C51" s="1343" t="s">
        <v>271</v>
      </c>
      <c r="D51" s="1343" t="s">
        <v>552</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269</v>
      </c>
      <c r="B52" s="1363" t="s">
        <v>270</v>
      </c>
      <c r="C52" s="1363" t="s">
        <v>271</v>
      </c>
      <c r="D52" s="1363" t="s">
        <v>552</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70</v>
      </c>
      <c r="AB52" s="1734"/>
      <c r="AC52" s="1469" t="s">
        <v>70</v>
      </c>
      <c r="AD52" s="2185" t="s">
        <v>70</v>
      </c>
      <c r="AE52" s="2326"/>
      <c r="AF52" s="2205">
        <v>1</v>
      </c>
      <c r="AG52" s="2363"/>
      <c r="AH52" s="2107" t="s">
        <v>70</v>
      </c>
      <c r="AI52" s="2326"/>
      <c r="AJ52" s="2205">
        <v>1</v>
      </c>
      <c r="AK52" s="2327" t="s">
        <v>28</v>
      </c>
      <c r="AL52" s="2107" t="s">
        <v>70</v>
      </c>
      <c r="AM52" s="2192"/>
      <c r="AN52" s="2205">
        <v>1</v>
      </c>
      <c r="AO52" s="2357"/>
      <c r="AP52" s="2358" t="s">
        <v>70</v>
      </c>
      <c r="AQ52" s="311"/>
      <c r="AR52" s="1486">
        <v>1</v>
      </c>
      <c r="AS52" s="1492" t="s">
        <v>28</v>
      </c>
      <c r="AT52" s="751"/>
      <c r="AU52" s="1257"/>
      <c r="AV52" s="751"/>
      <c r="AW52" s="1257"/>
      <c r="AX52" s="1734"/>
      <c r="AY52" s="1469" t="s">
        <v>70</v>
      </c>
      <c r="AZ52" s="1734"/>
      <c r="BA52" s="1469" t="s">
        <v>70</v>
      </c>
      <c r="BB52" s="1348"/>
      <c r="BC52" s="2253" t="s">
        <v>509</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510</v>
      </c>
      <c r="AT53" s="1393"/>
      <c r="AU53" s="1496"/>
      <c r="AV53" s="1393"/>
      <c r="AW53" s="1496"/>
      <c r="AX53" s="1393"/>
      <c r="AY53" s="1393"/>
      <c r="AZ53" s="1393"/>
      <c r="BA53" s="1393"/>
      <c r="BB53" s="1397"/>
      <c r="BC53" s="2254"/>
      <c r="BE53" s="500"/>
      <c r="BF53" s="500"/>
      <c r="BG53" s="500"/>
      <c r="BH53" s="500"/>
      <c r="BI53" s="1155">
        <v>11</v>
      </c>
    </row>
    <row customHeight="1" ht="11.549999999999999">
      <c r="A54" s="1363" t="s">
        <v>269</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511</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269</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512</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269</v>
      </c>
      <c r="B56" s="1363" t="s">
        <v>270</v>
      </c>
      <c r="C56" s="1363" t="s">
        <v>271</v>
      </c>
      <c r="D56" s="1363" t="s">
        <v>552</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513</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269</v>
      </c>
      <c r="B57" s="1363" t="s">
        <v>270</v>
      </c>
      <c r="C57" s="1363" t="s">
        <v>271</v>
      </c>
      <c r="D57" s="1363" t="s">
        <v>552</v>
      </c>
      <c r="E57" s="2259"/>
      <c r="F57" s="2259"/>
      <c r="G57" s="2259"/>
      <c r="H57" s="2259"/>
      <c r="I57" s="2286"/>
      <c r="J57" s="2256"/>
      <c r="K57" s="1363"/>
      <c r="L57" s="1364"/>
      <c r="P57" s="2257"/>
      <c r="Q57" s="2257"/>
      <c r="R57" s="356"/>
      <c r="S57" s="1278"/>
      <c r="T57" s="287" t="s">
        <v>476</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269</v>
      </c>
      <c r="B58" s="1343" t="s">
        <v>270</v>
      </c>
      <c r="C58" s="1343" t="s">
        <v>271</v>
      </c>
      <c r="D58" s="1343" t="s">
        <v>552</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269</v>
      </c>
      <c r="B59" s="1343" t="s">
        <v>270</v>
      </c>
      <c r="C59" s="1343" t="s">
        <v>271</v>
      </c>
      <c r="D59" s="1343" t="s">
        <v>552</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269</v>
      </c>
      <c r="B60" s="1343" t="s">
        <v>270</v>
      </c>
      <c r="C60" s="1343" t="s">
        <v>271</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269</v>
      </c>
      <c r="B61" s="1343" t="s">
        <v>270</v>
      </c>
      <c r="C61" s="1314"/>
      <c r="D61" s="1314"/>
      <c r="E61" s="2259"/>
      <c r="F61" s="2258"/>
      <c r="G61" s="1314"/>
      <c r="H61" s="1314"/>
      <c r="I61" s="1314"/>
      <c r="J61" s="1314"/>
      <c r="K61" s="1314"/>
      <c r="L61" s="1494"/>
      <c r="M61" s="1321"/>
      <c r="N61" s="1321"/>
      <c r="P61" s="1316"/>
      <c r="Q61" s="1317"/>
      <c r="R61" s="1316"/>
      <c r="S61" s="1322"/>
      <c r="T61" s="1325" t="s">
        <v>173</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269</v>
      </c>
      <c r="B62" s="1343"/>
      <c r="C62" s="1343"/>
      <c r="D62" s="1343"/>
      <c r="E62" s="2258"/>
      <c r="F62" s="1343"/>
      <c r="G62" s="1343"/>
      <c r="H62" s="1343"/>
      <c r="I62" s="1343"/>
      <c r="J62" s="1343"/>
      <c r="K62" s="1343"/>
      <c r="L62" s="1346"/>
      <c r="M62" s="1321"/>
      <c r="N62" s="1321"/>
      <c r="O62" s="518"/>
      <c r="P62" s="380"/>
      <c r="Q62" s="1344"/>
      <c r="R62" s="380"/>
      <c r="S62" s="1322"/>
      <c r="T62" s="1325" t="s">
        <v>174</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175</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86</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ECE5EB-2C49-4A18-EF78-13B107C8643F}"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553</v>
      </c>
      <c r="D2" s="1638"/>
      <c r="E2" s="546">
        <f>B2</f>
        <v>0</v>
      </c>
      <c r="F2" s="547"/>
      <c r="G2" s="1646" t="s">
        <v>554</v>
      </c>
      <c r="H2" s="1646" t="s">
        <v>554</v>
      </c>
      <c r="I2" s="1646" t="s">
        <v>554</v>
      </c>
      <c r="J2" s="289" t="s">
        <v>555</v>
      </c>
      <c r="K2" s="543"/>
      <c r="AF2" s="1631">
        <v>0</v>
      </c>
    </row>
    <row s="1642" customFormat="1" customHeight="1" ht="0.75" hidden="1">
      <c r="B3" s="2099"/>
      <c r="C3" s="1167"/>
      <c r="D3" s="548"/>
      <c r="E3" s="549"/>
      <c r="F3" s="550" t="s">
        <v>556</v>
      </c>
      <c r="G3" s="551"/>
      <c r="H3" s="551">
        <f>H4*H5+H7</f>
        <v>0</v>
      </c>
      <c r="I3" s="551">
        <f>I4*I5+I6</f>
        <v>0</v>
      </c>
      <c r="J3" s="552"/>
      <c r="AF3" s="1636">
        <v>0</v>
      </c>
    </row>
    <row customHeight="1" ht="23.25" hidden="1">
      <c r="B4" s="2099"/>
      <c r="C4" s="1167"/>
      <c r="D4" s="1638"/>
      <c r="E4" s="546" t="str">
        <f>B2&amp;".1"</f>
        <v>.1</v>
      </c>
      <c r="F4" s="553" t="s">
        <v>557</v>
      </c>
      <c r="G4" s="554"/>
      <c r="H4" s="541"/>
      <c r="I4" s="541"/>
      <c r="J4" s="289" t="s">
        <v>558</v>
      </c>
      <c r="K4" s="543"/>
      <c r="AF4" s="1631">
        <v>0</v>
      </c>
    </row>
    <row customHeight="1" ht="18.75" hidden="1">
      <c r="B5" s="2099"/>
      <c r="C5" s="1167"/>
      <c r="D5" s="1638"/>
      <c r="E5" s="546" t="str">
        <f>B2&amp;".2"</f>
        <v>.2</v>
      </c>
      <c r="F5" s="553" t="s">
        <v>559</v>
      </c>
      <c r="G5" s="1646" t="s">
        <v>560</v>
      </c>
      <c r="H5" s="541"/>
      <c r="I5" s="541"/>
      <c r="J5" s="289"/>
      <c r="K5" s="543"/>
      <c r="AF5" s="1631">
        <v>0</v>
      </c>
    </row>
    <row customHeight="1" ht="18.75" hidden="1">
      <c r="B6" s="2099"/>
      <c r="C6" s="1167"/>
      <c r="D6" s="1638"/>
      <c r="E6" s="546" t="str">
        <f>B2&amp;".3"</f>
        <v>.3</v>
      </c>
      <c r="F6" s="553" t="s">
        <v>561</v>
      </c>
      <c r="G6" s="1646" t="s">
        <v>560</v>
      </c>
      <c r="H6" s="541"/>
      <c r="I6" s="541"/>
      <c r="J6" s="289"/>
      <c r="K6" s="543"/>
      <c r="AF6" s="1631">
        <v>0</v>
      </c>
    </row>
    <row customHeight="1" ht="18.75" hidden="1">
      <c r="B7" s="2099"/>
      <c r="C7" s="1167"/>
      <c r="D7" s="1638"/>
      <c r="E7" s="546" t="str">
        <f>B2&amp;".4"</f>
        <v>.4</v>
      </c>
      <c r="F7" s="553" t="s">
        <v>562</v>
      </c>
      <c r="G7" s="1646" t="s">
        <v>554</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560</v>
      </c>
      <c r="H9" s="541"/>
      <c r="I9" s="541"/>
      <c r="J9" s="542" t="s">
        <v>563</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564</v>
      </c>
      <c r="H11" s="541"/>
      <c r="I11" s="541"/>
      <c r="J11" s="289" t="s">
        <v>565</v>
      </c>
      <c r="K11" s="543"/>
      <c r="AF11" s="1631">
        <v>0</v>
      </c>
    </row>
    <row customHeight="1" ht="11.25" hidden="1">
      <c r="AF12" s="1631">
        <v>0</v>
      </c>
    </row>
    <row customHeight="1" ht="22.5" hidden="1">
      <c r="D13" s="1638"/>
      <c r="E13" s="546"/>
      <c r="F13" s="540"/>
      <c r="G13" s="969" t="s">
        <v>566</v>
      </c>
      <c r="H13" s="545"/>
      <c r="I13" s="545"/>
      <c r="J13" s="745" t="s">
        <v>567</v>
      </c>
      <c r="K13" s="543"/>
      <c r="AF13" s="1631">
        <v>0</v>
      </c>
    </row>
    <row customHeight="1" ht="11.25" hidden="1">
      <c r="AF14" s="1631">
        <v>0</v>
      </c>
    </row>
    <row customHeight="1" ht="22.5" hidden="1">
      <c r="D15" s="1638"/>
      <c r="E15" s="546"/>
      <c r="F15" s="540"/>
      <c r="G15" s="1646" t="s">
        <v>568</v>
      </c>
      <c r="H15" s="545"/>
      <c r="I15" s="545"/>
      <c r="J15" s="289" t="s">
        <v>569</v>
      </c>
      <c r="K15" s="543"/>
      <c r="AF15" s="1631">
        <v>0</v>
      </c>
    </row>
    <row customHeight="1" ht="11.25" hidden="1">
      <c r="AF16" s="1631">
        <v>0</v>
      </c>
    </row>
    <row customHeight="1" ht="22.5" hidden="1">
      <c r="D17" s="1638"/>
      <c r="E17" s="546"/>
      <c r="F17" s="540"/>
      <c r="G17" s="1646" t="s">
        <v>570</v>
      </c>
      <c r="H17" s="545"/>
      <c r="I17" s="545"/>
      <c r="J17" s="289" t="s">
        <v>571</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8"/>
      <c r="G21" s="2248"/>
      <c r="H21" s="2248"/>
      <c r="I21" s="2248"/>
      <c r="J21" s="556"/>
      <c r="AF21" s="1631">
        <v>24</v>
      </c>
    </row>
    <row customHeight="1" ht="25.2">
      <c r="E22" s="2249" t="str">
        <f>IF(org=0,"Не определено",org)</f>
        <v>ООО "Энерго-Сервис"</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121</v>
      </c>
      <c r="AF24" s="1636">
        <v>1</v>
      </c>
    </row>
    <row customHeight="1" ht="11.549999999999999">
      <c r="E25" s="711"/>
      <c r="F25" s="2367" t="s">
        <v>109</v>
      </c>
      <c r="G25" s="2368"/>
      <c r="H25" s="1652" t="str">
        <f>IF(H24="","",INDEX(DIFFERENTIATION_UNMERGE_VD,MATCH(H24,DIFFERENTIATION_ID_DIFF,0)))</f>
        <v/>
      </c>
      <c r="I25" s="1652">
        <f>IF(I24="","",INDEX(DIFFERENTIATION_UNMERGE_VD,MATCH(I24,DIFFERENTIATION_ID_DIFF,0)))</f>
        <v>0</v>
      </c>
      <c r="J25" s="2127"/>
      <c r="AF25" s="1631">
        <v>11</v>
      </c>
    </row>
    <row customHeight="1" ht="11.549999999999999">
      <c r="E26" s="711"/>
      <c r="F26" s="2367" t="s">
        <v>572</v>
      </c>
      <c r="G26" s="2368"/>
      <c r="H26" s="1652" t="str">
        <f>IF(H24="","",INDEX(DIFFERENTIATION_UNMERGE_AREA,MATCH(H24,DIFFERENTIATION_ID_DIFF,0)))</f>
        <v/>
      </c>
      <c r="I26" s="1652" t="str">
        <f>IF(I24="","",INDEX(DIFFERENTIATION_UNMERGE_AREA,MATCH(I24,DIFFERENTIATION_ID_DIFF,0)))</f>
        <v/>
      </c>
      <c r="J26" s="2127"/>
      <c r="AF26" s="1631">
        <v>11</v>
      </c>
    </row>
    <row customHeight="1" ht="11.549999999999999">
      <c r="E27" s="711"/>
      <c r="F27" s="2367" t="s">
        <v>573</v>
      </c>
      <c r="G27" s="2368"/>
      <c r="H27" s="1652" t="str">
        <f>IF(H24="","",INDEX(DIFFERENTIATION_UNMERGE_SYSTEM,MATCH(H24,DIFFERENTIATION_ID_DIFF,0)))</f>
        <v/>
      </c>
      <c r="I27" s="1652" t="str">
        <f>IF(I24="","",INDEX(DIFFERENTIATION_UNMERGE_SYSTEM,MATCH(I24,DIFFERENTIATION_ID_DIFF,0)))</f>
        <v>без дифференциации</v>
      </c>
      <c r="J27" s="2127"/>
      <c r="AF27" s="1631">
        <v>11</v>
      </c>
    </row>
    <row customHeight="1" ht="11.549999999999999">
      <c r="E28" s="2369" t="s">
        <v>308</v>
      </c>
      <c r="F28" s="2370"/>
      <c r="G28" s="2370"/>
      <c r="H28" s="1645"/>
      <c r="I28" s="1645"/>
      <c r="J28" s="2127"/>
      <c r="AF28" s="1631">
        <v>11</v>
      </c>
    </row>
    <row customHeight="1" ht="24">
      <c r="E29" s="1646" t="s">
        <v>92</v>
      </c>
      <c r="F29" s="1653" t="s">
        <v>310</v>
      </c>
      <c r="G29" s="1653" t="s">
        <v>574</v>
      </c>
      <c r="H29" s="1653" t="s">
        <v>311</v>
      </c>
      <c r="I29" s="1653" t="s">
        <v>311</v>
      </c>
      <c r="J29" s="2127"/>
      <c r="AF29" s="1631">
        <v>23</v>
      </c>
    </row>
    <row customHeight="1" ht="19.95">
      <c r="D30" s="1638"/>
      <c r="E30" s="546">
        <f>FHD_NUM_P_1</f>
        <v>1</v>
      </c>
      <c r="F30" s="1880" t="str">
        <f>FHD_P_1</f>
        <v>Выручка от регулируемого вида деятельности с распределением по видам деятельности</v>
      </c>
      <c r="G30" s="1878" t="s">
        <v>560</v>
      </c>
      <c r="H30" s="557"/>
      <c r="I30" s="557"/>
      <c r="J30" s="289" t="str">
        <f>FHD_NOTE_P_1</f>
        <v>Указывается выручка от регулируемого вида деятельности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регулируемому виду деятельности, включая:</v>
      </c>
      <c r="G31" s="1878" t="s">
        <v>560</v>
      </c>
      <c r="H31" s="558">
        <f>SUMIF($K33:$K71,$K31,H33:H71)</f>
        <v>0</v>
      </c>
      <c r="I31" s="558">
        <f>SUMIF($K33:$K71,$K31,I33:I71)</f>
        <v>0</v>
      </c>
      <c r="J31" s="289" t="str">
        <f>FHD_NOTE_P_2</f>
        <v>Указывается суммарная себестоимость производимых товаров.</v>
      </c>
      <c r="K31" s="1636" t="s">
        <v>575</v>
      </c>
      <c r="AF31" s="1631">
        <v>11</v>
      </c>
    </row>
    <row customHeight="1" ht="11.549999999999999">
      <c r="D32" s="1638"/>
      <c r="E32" s="546" t="str">
        <f>FHD_NUM_P_3</f>
        <v>2.1</v>
      </c>
      <c r="F32" s="1524" t="str">
        <f>FHD_P_3</f>
        <v>Расходы на приобретаемую тепловую энергию (мощность), теплоноситель</v>
      </c>
      <c r="G32" s="1878" t="s">
        <v>560</v>
      </c>
      <c r="H32" s="557"/>
      <c r="I32" s="557"/>
      <c r="J32" s="289" t="str">
        <f>FHD_NOTE_P_3</f>
        <v/>
      </c>
      <c r="K32" s="1636" t="str">
        <f>IF((LEN(E32)-LEN(SUBSTITUTE(E32,".","")))/LEN(".")=1,"p","")</f>
        <v>p</v>
      </c>
      <c r="AF32" s="1631">
        <v>11</v>
      </c>
    </row>
    <row customHeight="1" ht="11.25">
      <c r="A33" s="2371" t="s">
        <v>576</v>
      </c>
      <c r="D33" s="1638"/>
      <c r="E33" s="546" t="str">
        <f>FHD_NUM_P_4</f>
        <v>2.2</v>
      </c>
      <c r="F33" s="152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8" t="s">
        <v>560</v>
      </c>
      <c r="H33" s="558">
        <f>SUMIF($F34:$F40,$F3,H34:H40)</f>
        <v>0</v>
      </c>
      <c r="I33" s="558">
        <f>SUMIF($F34:$F40,$F3,I34:I40)</f>
        <v>0</v>
      </c>
      <c r="J33" s="289" t="str">
        <f>FHD_NOTE_P_4</f>
        <v>Указываются суммарные расходы на приобретение топлива всех видов.</v>
      </c>
      <c r="K33" s="1636" t="str">
        <f>IF((LEN(E33)-LEN(SUBSTITUTE(E33,".","")))/LEN(".")=1,"p","")</f>
        <v>p</v>
      </c>
      <c r="AF33" s="1631">
        <v>0</v>
      </c>
    </row>
    <row s="1641" customFormat="1" customHeight="1" ht="0.75">
      <c r="A34" s="2371"/>
      <c r="B34" s="2372" t="str">
        <f>E33&amp;".0"</f>
        <v>2.2.0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c r="A40" s="2371"/>
      <c r="C40" s="1636"/>
      <c r="D40" s="1633"/>
      <c r="E40" s="570"/>
      <c r="F40" s="571" t="s">
        <v>577</v>
      </c>
      <c r="G40" s="572"/>
      <c r="H40" s="573"/>
      <c r="I40" s="573"/>
      <c r="J40" s="301"/>
      <c r="K40" s="1636" t="str">
        <f>IF((LEN(E40)-LEN(SUBSTITUTE(E40,".","")))/LEN(".")=1,"p","")</f>
        <v/>
      </c>
      <c r="L40" s="1636"/>
      <c r="M40" s="1636"/>
      <c r="R40" s="1636"/>
      <c r="U40" s="544"/>
      <c r="AA40" s="1632"/>
      <c r="AB40" s="1632"/>
      <c r="AC40" s="1632"/>
      <c r="AD40" s="1632"/>
      <c r="AE40" s="1632"/>
      <c r="AF40" s="1160">
        <v>0</v>
      </c>
    </row>
    <row customHeight="1" ht="11.25" hidden="1">
      <c r="A41" s="2371" t="s">
        <v>578</v>
      </c>
      <c r="D41" s="1638"/>
      <c r="E41" s="546" t="str">
        <f>FHD_NUM_P_5</f>
        <v/>
      </c>
      <c r="F41" s="1524" t="str">
        <f>FHD_P_5</f>
        <v/>
      </c>
      <c r="G41" s="1878" t="s">
        <v>560</v>
      </c>
      <c r="H41" s="557"/>
      <c r="I41" s="557"/>
      <c r="J41" s="289" t="str">
        <f>FHD_NOTE_P_5</f>
        <v/>
      </c>
      <c r="K41" s="1636" t="str">
        <f>IF((LEN(E41)-LEN(SUBSTITUTE(E41,".","")))/LEN(".")=1,"p","")</f>
        <v/>
      </c>
      <c r="AF41" s="1631">
        <v>0</v>
      </c>
    </row>
    <row customHeight="1" ht="11.25" hidden="1">
      <c r="A42" s="2371"/>
      <c r="D42" s="1638"/>
      <c r="E42" s="546" t="str">
        <f>FHD_NUM_P_6</f>
        <v/>
      </c>
      <c r="F42" s="1524" t="str">
        <f>FHD_P_6</f>
        <v/>
      </c>
      <c r="G42" s="1878" t="s">
        <v>560</v>
      </c>
      <c r="H42" s="557"/>
      <c r="I42" s="557"/>
      <c r="J42" s="289" t="str">
        <f>FHD_NOTE_P_6</f>
        <v/>
      </c>
      <c r="K42" s="1636" t="str">
        <f>IF((LEN(E42)-LEN(SUBSTITUTE(E42,".","")))/LEN(".")=1,"p","")</f>
        <v/>
      </c>
      <c r="AF42" s="1631">
        <v>0</v>
      </c>
    </row>
    <row customHeight="1" ht="11.25" hidden="1">
      <c r="A43" s="2371"/>
      <c r="D43" s="1638"/>
      <c r="E43" s="546" t="str">
        <f>FHD_NUM_P_7</f>
        <v/>
      </c>
      <c r="F43" s="1524" t="str">
        <f>FHD_P_7</f>
        <v/>
      </c>
      <c r="G43" s="1878" t="s">
        <v>560</v>
      </c>
      <c r="H43" s="557"/>
      <c r="I43" s="557"/>
      <c r="J43" s="289" t="str">
        <f>FHD_NOTE_P_7</f>
        <v/>
      </c>
      <c r="K43" s="1636" t="str">
        <f>IF((LEN(E43)-LEN(SUBSTITUTE(E43,".","")))/LEN(".")=1,"p","")</f>
        <v/>
      </c>
      <c r="AF43" s="1631">
        <v>0</v>
      </c>
    </row>
    <row customHeight="1" ht="11.549999999999999">
      <c r="D44" s="1638"/>
      <c r="E44" s="546" t="str">
        <f>FHD_NUM_P_8</f>
        <v>2.3</v>
      </c>
      <c r="F44" s="1524" t="str">
        <f>FHD_P_8</f>
        <v>Расходы на приобретаемую электрическую энергию (мощность), используемую в технологическом процессе</v>
      </c>
      <c r="G44" s="1878" t="s">
        <v>560</v>
      </c>
      <c r="H44" s="557"/>
      <c r="I44" s="557"/>
      <c r="J44" s="289" t="str">
        <f>FHD_NOTE_P_8</f>
        <v/>
      </c>
      <c r="K44" s="1636" t="str">
        <f>IF((LEN(E44)-LEN(SUBSTITUTE(E44,".","")))/LEN(".")=1,"p","")</f>
        <v>p</v>
      </c>
      <c r="AF44" s="1631">
        <v>11</v>
      </c>
    </row>
    <row customHeight="1" ht="11.549999999999999">
      <c r="D45" s="1638"/>
      <c r="E45" s="546" t="str">
        <f>FHD_NUM_P_9</f>
        <v>2.3.1</v>
      </c>
      <c r="F45" s="1650" t="str">
        <f>FHD_P_9</f>
        <v>Средневзвешенная стоимость 1 кВт.ч (с учетом мощности)</v>
      </c>
      <c r="G45" s="1878" t="s">
        <v>579</v>
      </c>
      <c r="H45" s="557"/>
      <c r="I45" s="557"/>
      <c r="J45" s="289" t="str">
        <f>FHD_NOTE_P_9</f>
        <v/>
      </c>
      <c r="K45" s="1636" t="str">
        <f>IF((LEN(E45)-LEN(SUBSTITUTE(E45,".","")))/LEN(".")=1,"p","")</f>
        <v/>
      </c>
      <c r="AF45" s="1631">
        <v>11</v>
      </c>
    </row>
    <row s="1366" customFormat="1" customHeight="1" ht="11.549999999999999">
      <c r="A46" s="987"/>
      <c r="C46" s="1636"/>
      <c r="D46" s="574"/>
      <c r="E46" s="546" t="str">
        <f>FHD_NUM_P_10</f>
        <v>2.3.2</v>
      </c>
      <c r="F46" s="1650" t="str">
        <f>FHD_P_10</f>
        <v>Объём приобретения электрической энергии</v>
      </c>
      <c r="G46" s="1878" t="s">
        <v>580</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c r="A47" s="989" t="s">
        <v>581</v>
      </c>
      <c r="C47" s="1636"/>
      <c r="D47" s="575"/>
      <c r="E47" s="546" t="str">
        <f>FHD_NUM_P_11</f>
        <v>2.4</v>
      </c>
      <c r="F47" s="1524" t="str">
        <f>FHD_P_11</f>
        <v>Расходы на приобретение холодной воды, используемой в технологическом процессе</v>
      </c>
      <c r="G47" s="1878" t="s">
        <v>560</v>
      </c>
      <c r="H47" s="557"/>
      <c r="I47" s="557"/>
      <c r="J47" s="289" t="str">
        <f>FHD_NOTE_P_11</f>
        <v/>
      </c>
      <c r="K47" s="1636" t="str">
        <f>IF((LEN(E47)-LEN(SUBSTITUTE(E47,".","")))/LEN(".")=1,"p","")</f>
        <v>p</v>
      </c>
      <c r="L47" s="1636"/>
      <c r="M47" s="1636"/>
      <c r="R47" s="1636"/>
      <c r="U47" s="544"/>
      <c r="AA47" s="1632"/>
      <c r="AB47" s="1632"/>
      <c r="AC47" s="1632"/>
      <c r="AD47" s="1632"/>
      <c r="AE47" s="1632"/>
      <c r="AF47" s="1160">
        <v>0</v>
      </c>
    </row>
    <row s="1366" customFormat="1" customHeight="1" ht="18.75">
      <c r="A48" s="989" t="s">
        <v>582</v>
      </c>
      <c r="C48" s="1636"/>
      <c r="D48" s="1638"/>
      <c r="E48" s="546" t="str">
        <f>FHD_NUM_P_12</f>
        <v>2.5</v>
      </c>
      <c r="F48" s="1524" t="str">
        <f>FHD_P_12</f>
        <v>Расходы на  химические реагенты, используемые в технологическом процессе</v>
      </c>
      <c r="G48" s="1878" t="s">
        <v>560</v>
      </c>
      <c r="H48" s="577"/>
      <c r="I48" s="577"/>
      <c r="J48" s="289" t="str">
        <f>FHD_NOTE_P_12</f>
        <v/>
      </c>
      <c r="K48" s="1636" t="str">
        <f>IF((LEN(E48)-LEN(SUBSTITUTE(E48,".","")))/LEN(".")=1,"p","")</f>
        <v>p</v>
      </c>
      <c r="L48" s="1636"/>
      <c r="M48" s="1636"/>
      <c r="R48" s="1636"/>
      <c r="U48" s="544"/>
      <c r="AA48" s="1632"/>
      <c r="AB48" s="1632"/>
      <c r="AC48" s="1632"/>
      <c r="AD48" s="1632"/>
      <c r="AE48" s="1632"/>
      <c r="AF48" s="1160">
        <v>18</v>
      </c>
    </row>
    <row s="1365" customFormat="1" customHeight="1" ht="11.549999999999999">
      <c r="A49" s="988"/>
      <c r="C49" s="730"/>
      <c r="D49" s="673"/>
      <c r="E49" s="546" t="str">
        <f>FHD_NUM_P_13</f>
        <v>2.6</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560</v>
      </c>
      <c r="H49" s="557"/>
      <c r="I49" s="557"/>
      <c r="J49" s="289" t="str">
        <f>FHD_NOTE_P_13</f>
        <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2.6.1</v>
      </c>
      <c r="F50" s="1650" t="str">
        <f>FHD_P_14</f>
        <v>Расходы на оплату труда основного производственного персонала</v>
      </c>
      <c r="G50" s="1878" t="s">
        <v>560</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2.6.2</v>
      </c>
      <c r="F51" s="1650"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560</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2.7</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8" t="s">
        <v>560</v>
      </c>
      <c r="H52" s="557"/>
      <c r="I52" s="557"/>
      <c r="J52" s="289" t="str">
        <f>FHD_NOTE_P_16</f>
        <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2.7.1</v>
      </c>
      <c r="F53" s="1650" t="str">
        <f>FHD_P_17</f>
        <v>Расходы на оплату труда административно-управленческого персонала</v>
      </c>
      <c r="G53" s="1878" t="s">
        <v>560</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2.7.2</v>
      </c>
      <c r="F54" s="165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560</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2.8</v>
      </c>
      <c r="F55" s="1524" t="str">
        <f>FHD_P_19</f>
        <v>Расходы на амортизацию основных средств и нематериальных активов</v>
      </c>
      <c r="G55" s="1878" t="s">
        <v>560</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2.8.1</v>
      </c>
      <c r="F56" s="1650" t="str">
        <f>FHD_P_20</f>
        <v>Расходы на амортизацию основных средств</v>
      </c>
      <c r="G56" s="1878" t="s">
        <v>560</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2.8.2</v>
      </c>
      <c r="F57" s="1650" t="str">
        <f>FHD_P_21</f>
        <v>Расходы на амортизацию нематериальных активов</v>
      </c>
      <c r="G57" s="1878" t="s">
        <v>560</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2.9</v>
      </c>
      <c r="F58" s="1524" t="str">
        <f>FHD_P_22</f>
        <v>Расходы на аренду имущества, используемого для осуществления регулируемого вида деятельности</v>
      </c>
      <c r="G58" s="1878" t="s">
        <v>560</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2.10</v>
      </c>
      <c r="F59" s="1524" t="str">
        <f>FHD_P_23</f>
        <v>Общепроизводственные расходы, в том числе:</v>
      </c>
      <c r="G59" s="1878" t="s">
        <v>560</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2.10.1</v>
      </c>
      <c r="F60" s="1650" t="str">
        <f>FHD_P_24</f>
        <v>Расходы на текущий ремонт</v>
      </c>
      <c r="G60" s="1878" t="s">
        <v>560</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2.10.2</v>
      </c>
      <c r="F61" s="1650" t="str">
        <f>FHD_P_25</f>
        <v>Расходы на капитальный ремонт</v>
      </c>
      <c r="G61" s="1878" t="s">
        <v>560</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2.11</v>
      </c>
      <c r="F62" s="1524" t="str">
        <f>FHD_P_26</f>
        <v>Общехозяйственные расходы, в том числе:</v>
      </c>
      <c r="G62" s="1878" t="s">
        <v>560</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2.11.1</v>
      </c>
      <c r="F63" s="1650" t="str">
        <f>FHD_P_27</f>
        <v>Расходы на текущий ремонт</v>
      </c>
      <c r="G63" s="1878" t="s">
        <v>560</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2.11.2</v>
      </c>
      <c r="F64" s="1650" t="str">
        <f>FHD_P_28</f>
        <v>Расходы на капитальный ремонт</v>
      </c>
      <c r="G64" s="1878" t="s">
        <v>560</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2.12</v>
      </c>
      <c r="F65" s="1524" t="str">
        <f>FHD_P_29</f>
        <v>Расходы на капитальный и текущий ремонт основных средств</v>
      </c>
      <c r="G65" s="1878" t="s">
        <v>560</v>
      </c>
      <c r="H65" s="557"/>
      <c r="I65" s="557"/>
      <c r="J65" s="289"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2.12.1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314</v>
      </c>
      <c r="H66" s="1649" t="s">
        <v>583</v>
      </c>
      <c r="I66" s="1649" t="s">
        <v>583</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hidden="1">
      <c r="A67" s="2371" t="s">
        <v>584</v>
      </c>
      <c r="C67" s="1636"/>
      <c r="D67" s="1638"/>
      <c r="E67" s="546" t="str">
        <f>FHD_NUM_P_31</f>
        <v/>
      </c>
      <c r="F67" s="1524" t="str">
        <f>FHD_P_31</f>
        <v/>
      </c>
      <c r="G67" s="1878" t="s">
        <v>560</v>
      </c>
      <c r="H67" s="557"/>
      <c r="I67" s="557"/>
      <c r="J67" s="289" t="str">
        <f>FHD_NOTE_P_31</f>
        <v/>
      </c>
      <c r="K67" s="1636" t="str">
        <f>IF((LEN(E67)-LEN(SUBSTITUTE(E67,".","")))/LEN(".")=1,"p","")</f>
        <v/>
      </c>
      <c r="L67" s="1636"/>
      <c r="M67" s="1636"/>
      <c r="R67" s="1636"/>
      <c r="U67" s="544"/>
      <c r="AA67" s="1632"/>
      <c r="AB67" s="1632"/>
      <c r="AC67" s="1632"/>
      <c r="AD67" s="1632"/>
      <c r="AE67" s="1632"/>
      <c r="AF67" s="1160">
        <v>22</v>
      </c>
    </row>
    <row s="1366" customFormat="1" customHeight="1" ht="47.25" hidden="1">
      <c r="A68" s="2371"/>
      <c r="C68" s="1636"/>
      <c r="D68" s="1638"/>
      <c r="E68" s="546" t="str">
        <f>FHD_NUM_P_32</f>
        <v/>
      </c>
      <c r="F68" s="1650" t="str">
        <f>FHD_P_32</f>
        <v/>
      </c>
      <c r="G68" s="1878" t="s">
        <v>314</v>
      </c>
      <c r="H68" s="1649" t="s">
        <v>583</v>
      </c>
      <c r="I68" s="1649" t="s">
        <v>583</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2.13</v>
      </c>
      <c r="F69" s="152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79" t="s">
        <v>560</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2.13.0</v>
      </c>
      <c r="F70" s="991"/>
      <c r="G70" s="1013"/>
      <c r="H70" s="992"/>
      <c r="I70" s="992"/>
      <c r="J70" s="993"/>
      <c r="K70" s="1636" t="str">
        <f>IF((LEN(E70)-LEN(SUBSTITUTE(E70,".","")))/LEN(".")=1,"p","")</f>
        <v/>
      </c>
      <c r="AF70" s="1636">
        <v>1</v>
      </c>
    </row>
    <row s="1366" customFormat="1" customHeight="1" ht="14.699999999999998">
      <c r="A71" s="987"/>
      <c r="C71" s="1636"/>
      <c r="D71" s="1633"/>
      <c r="E71" s="570"/>
      <c r="F71" s="571" t="s">
        <v>585</v>
      </c>
      <c r="G71" s="572"/>
      <c r="H71" s="573"/>
      <c r="I71" s="573"/>
      <c r="J71" s="301"/>
      <c r="K71" s="1636"/>
      <c r="L71" s="1636"/>
      <c r="M71" s="1636"/>
      <c r="R71" s="1636"/>
      <c r="U71" s="544"/>
      <c r="AA71" s="1632"/>
      <c r="AB71" s="1632"/>
      <c r="AC71" s="1632"/>
      <c r="AD71" s="1632"/>
      <c r="AE71" s="1632"/>
      <c r="AF71" s="1160">
        <v>14</v>
      </c>
    </row>
    <row s="1366" customFormat="1" customHeight="1" ht="18.75">
      <c r="A72" s="989" t="s">
        <v>586</v>
      </c>
      <c r="C72" s="1636"/>
      <c r="D72" s="1638"/>
      <c r="E72" s="546" t="str">
        <f>FHD_NUM_P_34</f>
        <v>3</v>
      </c>
      <c r="F72" s="1880" t="str">
        <f>FHD_P_34</f>
        <v>Валовая прибыль (убытки) от реализации товаров и оказания услуг по регулируемому виду деятельности</v>
      </c>
      <c r="G72" s="1878" t="s">
        <v>560</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4</v>
      </c>
      <c r="F73" s="1880" t="str">
        <f>FHD_P_35</f>
        <v>Чистая прибыль, полученная от регулируемого вида деятельности, в том числе:</v>
      </c>
      <c r="G73" s="1878" t="s">
        <v>560</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4.1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560</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5</v>
      </c>
      <c r="F75" s="1880" t="str">
        <f>FHD_P_37</f>
        <v>Изменение стоимости основных фондов, в том числе:</v>
      </c>
      <c r="G75" s="1878" t="s">
        <v>560</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5.1</v>
      </c>
      <c r="F76" s="1524" t="str">
        <f>FHD_P_38</f>
        <v>Изменение стоимости основных фондов за счет:</v>
      </c>
      <c r="G76" s="1878" t="s">
        <v>560</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5.1.1</v>
      </c>
      <c r="F77" s="1650" t="str">
        <f>FHD_P_39</f>
        <v>Изменения стоимости основных фондов за счет их ввода в эксплуатацию</v>
      </c>
      <c r="G77" s="2072" t="s">
        <v>560</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5.1.2</v>
      </c>
      <c r="F78" s="2076" t="str">
        <f>FHD_P_40</f>
        <v>Изменения стоимости основных фондов за счет их вывода в эксплуатацию</v>
      </c>
      <c r="G78" s="2071" t="s">
        <v>560</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5.2</v>
      </c>
      <c r="F79" s="2075" t="str">
        <f>FHD_P_41</f>
        <v>Изменение стоимости основных фондов за счет их переоценки</v>
      </c>
      <c r="G79" s="2071" t="s">
        <v>560</v>
      </c>
      <c r="H79" s="976"/>
      <c r="I79" s="557"/>
      <c r="J79" s="289" t="str">
        <f>FHD_NOTE_P_41</f>
        <v/>
      </c>
      <c r="K79" s="543"/>
      <c r="L79" s="1636"/>
      <c r="M79" s="1636"/>
      <c r="R79" s="1636"/>
      <c r="U79" s="544"/>
      <c r="AA79" s="1632"/>
      <c r="AB79" s="1632"/>
      <c r="AC79" s="1632"/>
      <c r="AD79" s="1632"/>
      <c r="AE79" s="1632"/>
      <c r="AF79" s="1160">
        <v>19</v>
      </c>
    </row>
    <row s="1366" customFormat="1" customHeight="1" ht="19.95" hidden="1">
      <c r="A80" s="989" t="s">
        <v>587</v>
      </c>
      <c r="C80" s="1636"/>
      <c r="D80" s="1638"/>
      <c r="E80" s="546" t="str">
        <f>FHD_NUM_P_42</f>
        <v/>
      </c>
      <c r="F80" s="2073" t="str">
        <f>FHD_P_42</f>
        <v/>
      </c>
      <c r="G80" s="2071" t="s">
        <v>560</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314</v>
      </c>
      <c r="H81" s="1055"/>
      <c r="I81" s="818"/>
      <c r="J81" s="289"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hidden="1">
      <c r="A82" s="2371" t="s">
        <v>588</v>
      </c>
      <c r="C82" s="735"/>
      <c r="D82" s="733"/>
      <c r="E82" s="546" t="str">
        <f>FHD_NUM_P_44</f>
        <v/>
      </c>
      <c r="F82" s="1880" t="str">
        <f>FHD_P_44</f>
        <v/>
      </c>
      <c r="G82" s="1881" t="s">
        <v>589</v>
      </c>
      <c r="H82" s="977"/>
      <c r="I82" s="577"/>
      <c r="J82" s="289" t="str">
        <f>FHD_NOTE_P_44</f>
        <v/>
      </c>
      <c r="K82" s="734"/>
      <c r="L82" s="735"/>
      <c r="M82" s="735"/>
      <c r="R82" s="735"/>
      <c r="U82" s="736"/>
      <c r="AA82" s="737"/>
      <c r="AB82" s="737"/>
      <c r="AC82" s="737"/>
      <c r="AD82" s="737"/>
      <c r="AE82" s="737"/>
      <c r="AF82" s="910">
        <v>0</v>
      </c>
    </row>
    <row s="1366" customFormat="1" customHeight="1" ht="18.75" hidden="1">
      <c r="A83" s="2371"/>
      <c r="C83" s="735"/>
      <c r="D83" s="733"/>
      <c r="E83" s="546" t="str">
        <f>FHD_NUM_P_45</f>
        <v/>
      </c>
      <c r="F83" s="1880" t="str">
        <f>FHD_P_45</f>
        <v/>
      </c>
      <c r="G83" s="1881" t="s">
        <v>589</v>
      </c>
      <c r="H83" s="977"/>
      <c r="I83" s="577"/>
      <c r="J83" s="289" t="str">
        <f>FHD_NOTE_P_45</f>
        <v/>
      </c>
      <c r="K83" s="734"/>
      <c r="L83" s="735"/>
      <c r="M83" s="735"/>
      <c r="R83" s="735"/>
      <c r="U83" s="736"/>
      <c r="AA83" s="737"/>
      <c r="AB83" s="737"/>
      <c r="AC83" s="737"/>
      <c r="AD83" s="737"/>
      <c r="AE83" s="737"/>
      <c r="AF83" s="910">
        <v>0</v>
      </c>
    </row>
    <row s="1366" customFormat="1" customHeight="1" ht="18.75" hidden="1">
      <c r="A84" s="2371"/>
      <c r="C84" s="735"/>
      <c r="D84" s="738"/>
      <c r="E84" s="546" t="str">
        <f>FHD_NUM_P_46</f>
        <v/>
      </c>
      <c r="F84" s="1880" t="str">
        <f>FHD_P_46</f>
        <v/>
      </c>
      <c r="G84" s="1881" t="s">
        <v>589</v>
      </c>
      <c r="H84" s="977"/>
      <c r="I84" s="577"/>
      <c r="J84" s="289" t="str">
        <f>FHD_NOTE_P_46</f>
        <v/>
      </c>
      <c r="K84" s="734"/>
      <c r="L84" s="735"/>
      <c r="M84" s="735"/>
      <c r="R84" s="735"/>
      <c r="U84" s="736"/>
      <c r="AA84" s="737"/>
      <c r="AB84" s="737"/>
      <c r="AC84" s="737"/>
      <c r="AD84" s="737"/>
      <c r="AE84" s="737"/>
      <c r="AF84" s="910">
        <v>0</v>
      </c>
    </row>
    <row s="1366" customFormat="1" customHeight="1" ht="18.75" hidden="1">
      <c r="A85" s="2371"/>
      <c r="C85" s="735"/>
      <c r="D85" s="733"/>
      <c r="E85" s="546" t="str">
        <f>FHD_NUM_P_47</f>
        <v/>
      </c>
      <c r="F85" s="1880" t="str">
        <f>FHD_P_47</f>
        <v/>
      </c>
      <c r="G85" s="1881" t="s">
        <v>589</v>
      </c>
      <c r="H85" s="977"/>
      <c r="I85" s="577"/>
      <c r="J85" s="289" t="str">
        <f>FHD_NOTE_P_47</f>
        <v/>
      </c>
      <c r="K85" s="734"/>
      <c r="L85" s="735"/>
      <c r="M85" s="735"/>
      <c r="R85" s="735"/>
      <c r="U85" s="736"/>
      <c r="AA85" s="737"/>
      <c r="AB85" s="737"/>
      <c r="AC85" s="737"/>
      <c r="AD85" s="737"/>
      <c r="AE85" s="737"/>
      <c r="AF85" s="910">
        <v>0</v>
      </c>
    </row>
    <row s="1635" customFormat="1" customHeight="1" ht="18.75" hidden="1">
      <c r="A86" s="2371"/>
      <c r="B86" s="910"/>
      <c r="C86" s="735"/>
      <c r="D86" s="733"/>
      <c r="E86" s="546" t="str">
        <f>FHD_NUM_P_48</f>
        <v/>
      </c>
      <c r="F86" s="1880" t="str">
        <f>FHD_P_48</f>
        <v/>
      </c>
      <c r="G86" s="1881" t="s">
        <v>589</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hidden="1">
      <c r="A87" s="2371"/>
      <c r="B87" s="910"/>
      <c r="C87" s="735"/>
      <c r="D87" s="733"/>
      <c r="E87" s="546" t="str">
        <f>FHD_NUM_P_49</f>
        <v/>
      </c>
      <c r="F87" s="1880" t="str">
        <f>FHD_P_49</f>
        <v/>
      </c>
      <c r="G87" s="1881" t="s">
        <v>589</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hidden="1">
      <c r="A88" s="2371"/>
      <c r="B88" s="910"/>
      <c r="C88" s="735"/>
      <c r="D88" s="733"/>
      <c r="E88" s="546" t="str">
        <f>FHD_NUM_P_50</f>
        <v/>
      </c>
      <c r="F88" s="1880" t="str">
        <f>FHD_P_50</f>
        <v/>
      </c>
      <c r="G88" s="1881" t="s">
        <v>589</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hidden="1">
      <c r="A89" s="2371"/>
      <c r="B89" s="910"/>
      <c r="C89" s="735"/>
      <c r="D89" s="733"/>
      <c r="E89" s="546" t="str">
        <f>FHD_NUM_P_51</f>
        <v/>
      </c>
      <c r="F89" s="1880" t="str">
        <f>FHD_P_51</f>
        <v/>
      </c>
      <c r="G89" s="1881" t="s">
        <v>589</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hidden="1">
      <c r="A90" s="2371"/>
      <c r="B90" s="910"/>
      <c r="C90" s="735"/>
      <c r="D90" s="733"/>
      <c r="E90" s="546" t="str">
        <f>FHD_NUM_P_52</f>
        <v/>
      </c>
      <c r="F90" s="1880" t="str">
        <f>FHD_P_52</f>
        <v/>
      </c>
      <c r="G90" s="1881" t="s">
        <v>566</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hidden="1">
      <c r="A91" s="2373" t="s">
        <v>590</v>
      </c>
      <c r="C91" s="735"/>
      <c r="D91" s="733"/>
      <c r="E91" s="546" t="str">
        <f>FHD_NUM_P_53</f>
        <v/>
      </c>
      <c r="F91" s="1880" t="str">
        <f>FHD_P_53</f>
        <v/>
      </c>
      <c r="G91" s="1881" t="s">
        <v>589</v>
      </c>
      <c r="H91" s="977"/>
      <c r="I91" s="577"/>
      <c r="J91" s="289" t="str">
        <f>FHD_NOTE_P_53</f>
        <v/>
      </c>
      <c r="K91" s="734"/>
      <c r="L91" s="735"/>
      <c r="M91" s="735"/>
      <c r="R91" s="735"/>
      <c r="U91" s="736"/>
      <c r="AA91" s="737"/>
      <c r="AB91" s="737"/>
      <c r="AC91" s="737"/>
      <c r="AD91" s="737"/>
      <c r="AE91" s="737"/>
      <c r="AF91" s="910">
        <v>0</v>
      </c>
    </row>
    <row s="1366" customFormat="1" customHeight="1" ht="18.75" hidden="1">
      <c r="A92" s="2373"/>
      <c r="C92" s="735"/>
      <c r="D92" s="733"/>
      <c r="E92" s="546" t="str">
        <f>FHD_NUM_P_54</f>
        <v/>
      </c>
      <c r="F92" s="1880" t="str">
        <f>FHD_P_54</f>
        <v/>
      </c>
      <c r="G92" s="1881" t="s">
        <v>589</v>
      </c>
      <c r="H92" s="977"/>
      <c r="I92" s="577"/>
      <c r="J92" s="289" t="str">
        <f>FHD_NOTE_P_54</f>
        <v/>
      </c>
      <c r="K92" s="734"/>
      <c r="L92" s="735"/>
      <c r="M92" s="735"/>
      <c r="R92" s="735"/>
      <c r="U92" s="736"/>
      <c r="AA92" s="737"/>
      <c r="AB92" s="737"/>
      <c r="AC92" s="737"/>
      <c r="AD92" s="737"/>
      <c r="AE92" s="737"/>
      <c r="AF92" s="910">
        <v>0</v>
      </c>
    </row>
    <row s="1366" customFormat="1" customHeight="1" ht="18.75" hidden="1">
      <c r="A93" s="2373"/>
      <c r="C93" s="735"/>
      <c r="D93" s="738"/>
      <c r="E93" s="546" t="str">
        <f>FHD_NUM_P_55</f>
        <v/>
      </c>
      <c r="F93" s="1880" t="str">
        <f>FHD_P_55</f>
        <v/>
      </c>
      <c r="G93" s="1884"/>
      <c r="H93" s="977"/>
      <c r="I93" s="577"/>
      <c r="J93" s="289" t="str">
        <f>FHD_NOTE_P_55</f>
        <v/>
      </c>
      <c r="K93" s="734"/>
      <c r="L93" s="735"/>
      <c r="M93" s="735"/>
      <c r="R93" s="735"/>
      <c r="U93" s="736"/>
      <c r="AA93" s="737"/>
      <c r="AB93" s="737"/>
      <c r="AC93" s="737"/>
      <c r="AD93" s="737"/>
      <c r="AE93" s="737"/>
      <c r="AF93" s="910">
        <v>0</v>
      </c>
    </row>
    <row s="1366" customFormat="1" customHeight="1" ht="18.75" hidden="1">
      <c r="A94" s="2373"/>
      <c r="C94" s="735"/>
      <c r="D94" s="733"/>
      <c r="E94" s="546" t="str">
        <f>FHD_NUM_P_56</f>
        <v/>
      </c>
      <c r="F94" s="1880" t="str">
        <f>FHD_P_56</f>
        <v/>
      </c>
      <c r="G94" s="1881" t="s">
        <v>591</v>
      </c>
      <c r="H94" s="977"/>
      <c r="I94" s="577"/>
      <c r="J94" s="289" t="str">
        <f>FHD_NOTE_P_56</f>
        <v/>
      </c>
      <c r="K94" s="734"/>
      <c r="L94" s="735"/>
      <c r="M94" s="735"/>
      <c r="R94" s="735"/>
      <c r="U94" s="736"/>
      <c r="AA94" s="737"/>
      <c r="AB94" s="737"/>
      <c r="AC94" s="737"/>
      <c r="AD94" s="737"/>
      <c r="AE94" s="737"/>
      <c r="AF94" s="910">
        <v>0</v>
      </c>
    </row>
    <row s="1635" customFormat="1" customHeight="1" ht="18.75" hidden="1">
      <c r="A95" s="2373"/>
      <c r="B95" s="910"/>
      <c r="C95" s="735"/>
      <c r="D95" s="733"/>
      <c r="E95" s="546" t="str">
        <f>FHD_NUM_P_57</f>
        <v/>
      </c>
      <c r="F95" s="1880" t="str">
        <f>FHD_P_57</f>
        <v/>
      </c>
      <c r="G95" s="1881" t="s">
        <v>566</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hidden="1">
      <c r="A96" s="2371" t="s">
        <v>592</v>
      </c>
      <c r="D96" s="1638"/>
      <c r="E96" s="546" t="str">
        <f>FHD_NUM_P_58</f>
        <v/>
      </c>
      <c r="F96" s="1880" t="str">
        <f>FHD_P_58</f>
        <v/>
      </c>
      <c r="G96" s="1881" t="s">
        <v>589</v>
      </c>
      <c r="H96" s="977"/>
      <c r="I96" s="577"/>
      <c r="J96" s="289" t="str">
        <f>FHD_NOTE_P_58</f>
        <v/>
      </c>
      <c r="K96" s="543"/>
      <c r="AF96" s="1631">
        <v>0</v>
      </c>
    </row>
    <row customHeight="1" ht="18.75" hidden="1">
      <c r="A97" s="2371"/>
      <c r="D97" s="1638"/>
      <c r="E97" s="546" t="str">
        <f>FHD_NUM_P_59</f>
        <v/>
      </c>
      <c r="F97" s="1880" t="str">
        <f>FHD_P_59</f>
        <v/>
      </c>
      <c r="G97" s="1881" t="s">
        <v>589</v>
      </c>
      <c r="H97" s="977"/>
      <c r="I97" s="577"/>
      <c r="J97" s="289" t="str">
        <f>FHD_NOTE_P_59</f>
        <v/>
      </c>
      <c r="K97" s="543"/>
      <c r="AF97" s="1631">
        <v>0</v>
      </c>
    </row>
    <row customHeight="1" ht="18.75" hidden="1">
      <c r="A98" s="2371"/>
      <c r="D98" s="1638"/>
      <c r="E98" s="546" t="str">
        <f>FHD_NUM_P_60</f>
        <v/>
      </c>
      <c r="F98" s="1880" t="str">
        <f>FHD_P_60</f>
        <v/>
      </c>
      <c r="G98" s="1881" t="s">
        <v>589</v>
      </c>
      <c r="H98" s="977"/>
      <c r="I98" s="577"/>
      <c r="J98" s="289" t="str">
        <f>FHD_NOTE_P_60</f>
        <v/>
      </c>
      <c r="K98" s="543"/>
      <c r="AF98" s="1631">
        <v>0</v>
      </c>
    </row>
    <row s="1366" customFormat="1" customHeight="1" ht="18.75">
      <c r="A99" s="2371" t="s">
        <v>593</v>
      </c>
      <c r="C99" s="1636"/>
      <c r="D99" s="1638"/>
      <c r="E99" s="546" t="str">
        <f>FHD_NUM_P_61</f>
        <v>7</v>
      </c>
      <c r="F99" s="1880"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8" t="s">
        <v>564</v>
      </c>
      <c r="H99" s="979"/>
      <c r="I99" s="742"/>
      <c r="J99" s="289"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3"/>
      <c r="L99" s="1636"/>
      <c r="M99" s="1636"/>
      <c r="R99" s="1636"/>
      <c r="U99" s="544"/>
      <c r="AA99" s="1632"/>
      <c r="AB99" s="1632"/>
      <c r="AC99" s="1632"/>
      <c r="AD99" s="1632"/>
      <c r="AE99" s="1632"/>
      <c r="AF99" s="1160">
        <v>0</v>
      </c>
    </row>
    <row s="1642" customFormat="1" customHeight="1" ht="0.75">
      <c r="A100" s="2371"/>
      <c r="D100" s="548"/>
      <c r="E100" s="1013" t="str">
        <f>E99&amp;".0"</f>
        <v>7.0</v>
      </c>
      <c r="F100" s="994"/>
      <c r="G100" s="995"/>
      <c r="H100" s="992"/>
      <c r="I100" s="992"/>
      <c r="J100" s="996"/>
      <c r="AF100" s="1636">
        <v>0</v>
      </c>
    </row>
    <row customHeight="1" ht="15">
      <c r="A101" s="2371"/>
      <c r="D101" s="1633"/>
      <c r="E101" s="971"/>
      <c r="F101" s="972" t="s">
        <v>594</v>
      </c>
      <c r="G101" s="572"/>
      <c r="H101" s="573"/>
      <c r="I101" s="573"/>
      <c r="J101" s="1004" t="s">
        <v>595</v>
      </c>
      <c r="K101" s="543"/>
      <c r="AF101" s="1631">
        <v>0</v>
      </c>
    </row>
    <row s="1366" customFormat="1" customHeight="1" ht="18.75">
      <c r="A102" s="2371"/>
      <c r="C102" s="1636"/>
      <c r="D102" s="1638"/>
      <c r="E102" s="546" t="str">
        <f>FHD_NUM_P_62</f>
        <v>8</v>
      </c>
      <c r="F102" s="1880" t="str">
        <f>FHD_P_62</f>
        <v>Тепловая нагрузка по договорам, заключенным в рамках осуществления регулируемых видов деятельности</v>
      </c>
      <c r="G102" s="1877" t="s">
        <v>564</v>
      </c>
      <c r="H102" s="557"/>
      <c r="I102" s="557"/>
      <c r="J102" s="289"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3"/>
      <c r="L102" s="1636"/>
      <c r="M102" s="1636"/>
      <c r="R102" s="1636"/>
      <c r="U102" s="544"/>
      <c r="AA102" s="1632"/>
      <c r="AB102" s="1632"/>
      <c r="AC102" s="1632"/>
      <c r="AD102" s="1632"/>
      <c r="AE102" s="1632"/>
      <c r="AF102" s="1160">
        <v>0</v>
      </c>
    </row>
    <row s="1366" customFormat="1" customHeight="1" ht="18.75">
      <c r="A103" s="2371"/>
      <c r="C103" s="1636"/>
      <c r="D103" s="1638"/>
      <c r="E103" s="546" t="str">
        <f>FHD_NUM_P_63</f>
        <v>9</v>
      </c>
      <c r="F103" s="1880" t="str">
        <f>FHD_P_63</f>
        <v>Объем вырабатываемой регулируемой организацией тепловой энергии в рамках осуществления регулируемых видов деятельности</v>
      </c>
      <c r="G103" s="1877" t="s">
        <v>591</v>
      </c>
      <c r="H103" s="577"/>
      <c r="I103" s="577"/>
      <c r="J103" s="289"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3"/>
      <c r="L103" s="1636"/>
      <c r="M103" s="1636"/>
      <c r="R103" s="1636"/>
      <c r="U103" s="544"/>
      <c r="AA103" s="1632"/>
      <c r="AB103" s="1632"/>
      <c r="AC103" s="1632"/>
      <c r="AD103" s="1632"/>
      <c r="AE103" s="1632"/>
      <c r="AF103" s="1160">
        <v>0</v>
      </c>
    </row>
    <row s="1366" customFormat="1" customHeight="1" ht="18.75">
      <c r="A104" s="2371"/>
      <c r="C104" s="1636" t="s">
        <v>596</v>
      </c>
      <c r="D104" s="1638"/>
      <c r="E104" s="546" t="str">
        <f>FHD_NUM_P_64</f>
        <v>9.1</v>
      </c>
      <c r="F104" s="1880" t="str">
        <f>FHD_P_64</f>
        <v>Объем приобретаемой регулируемой организацией тепловой энергии в рамках осуществления регулируемых видов деятельности</v>
      </c>
      <c r="G104" s="1877" t="s">
        <v>591</v>
      </c>
      <c r="H104" s="545"/>
      <c r="I104" s="545"/>
      <c r="J104" s="289" t="str">
        <f>FHD_NOTE_P_64</f>
        <v>Информация указывается только едиными теплоснабжающими организациями.</v>
      </c>
      <c r="K104" s="543"/>
      <c r="L104" s="1636"/>
      <c r="M104" s="1636"/>
      <c r="R104" s="1636"/>
      <c r="U104" s="544"/>
      <c r="AA104" s="1632"/>
      <c r="AB104" s="1632"/>
      <c r="AC104" s="1632"/>
      <c r="AD104" s="1632"/>
      <c r="AE104" s="1632"/>
      <c r="AF104" s="1160">
        <v>0</v>
      </c>
    </row>
    <row s="1366" customFormat="1" customHeight="1" ht="18.75">
      <c r="A105" s="2371"/>
      <c r="C105" s="1636"/>
      <c r="D105" s="1638"/>
      <c r="E105" s="546" t="str">
        <f>FHD_NUM_P_65</f>
        <v>10</v>
      </c>
      <c r="F105" s="1880"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7" t="s">
        <v>591</v>
      </c>
      <c r="H105" s="577"/>
      <c r="I105" s="577"/>
      <c r="J105" s="289"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3"/>
      <c r="L105" s="1636"/>
      <c r="M105" s="1636"/>
      <c r="R105" s="1636"/>
      <c r="U105" s="544"/>
      <c r="AA105" s="1632"/>
      <c r="AB105" s="1632"/>
      <c r="AC105" s="1632"/>
      <c r="AD105" s="1632"/>
      <c r="AE105" s="1632"/>
      <c r="AF105" s="1160">
        <v>0</v>
      </c>
    </row>
    <row s="1366" customFormat="1" customHeight="1" ht="18.75">
      <c r="A106" s="2371"/>
      <c r="C106" s="1636"/>
      <c r="D106" s="1638"/>
      <c r="E106" s="546" t="str">
        <f>FHD_NUM_P_66</f>
        <v>10.1</v>
      </c>
      <c r="F106" s="1524" t="str">
        <f>FHD_P_66</f>
        <v>По приборам учёта </v>
      </c>
      <c r="G106" s="1877" t="s">
        <v>591</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c r="A107" s="2371"/>
      <c r="C107" s="1636"/>
      <c r="D107" s="1638"/>
      <c r="E107" s="546" t="str">
        <f>FHD_NUM_P_67</f>
        <v>10.1.1</v>
      </c>
      <c r="F107" s="165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7" t="s">
        <v>591</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c r="A108" s="2371"/>
      <c r="C108" s="1636"/>
      <c r="D108" s="1638"/>
      <c r="E108" s="546" t="str">
        <f>FHD_NUM_P_68</f>
        <v>10.2</v>
      </c>
      <c r="F108" s="1524" t="str">
        <f>FHD_P_68</f>
        <v>Расчётным путём</v>
      </c>
      <c r="G108" s="1877" t="s">
        <v>591</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c r="A109" s="2371"/>
      <c r="C109" s="1636"/>
      <c r="D109" s="1638"/>
      <c r="E109" s="546" t="str">
        <f>FHD_NUM_P_69</f>
        <v>10.3</v>
      </c>
      <c r="F109" s="1524" t="str">
        <f>FHD_P_69</f>
        <v>По нормативам потребления коммунальных услуг и нормативам потребления коммунальных ресурсов</v>
      </c>
      <c r="G109" s="1877" t="s">
        <v>591</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c r="A110" s="2371"/>
      <c r="C110" s="1636"/>
      <c r="D110" s="1638"/>
      <c r="E110" s="546" t="str">
        <f>FHD_NUM_P_70</f>
        <v>11</v>
      </c>
      <c r="F110" s="1880"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7" t="s">
        <v>597</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c r="A111" s="2371"/>
      <c r="C111" s="1636"/>
      <c r="D111" s="1638"/>
      <c r="E111" s="546" t="str">
        <f>FHD_NUM_P_71</f>
        <v>12</v>
      </c>
      <c r="F111" s="1880" t="str">
        <f>FHD_P_71</f>
        <v>Фактический объем потерь при передаче тепловой энергии</v>
      </c>
      <c r="G111" s="1877" t="s">
        <v>597</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13</v>
      </c>
      <c r="F112" s="1880" t="str">
        <f>FHD_P_72</f>
        <v>Среднесписочная численность основного производственного персонала</v>
      </c>
      <c r="G112" s="1876" t="s">
        <v>598</v>
      </c>
      <c r="H112" s="577"/>
      <c r="I112" s="577"/>
      <c r="J112" s="289" t="str">
        <f>FHD_NOTE_P_72</f>
        <v/>
      </c>
      <c r="K112" s="543"/>
      <c r="AF112" s="1631">
        <v>19</v>
      </c>
    </row>
    <row customHeight="1" ht="18.75">
      <c r="A113" s="989" t="s">
        <v>599</v>
      </c>
      <c r="D113" s="1638"/>
      <c r="E113" s="546" t="str">
        <f>FHD_NUM_P_73</f>
        <v>14</v>
      </c>
      <c r="F113" s="1880" t="str">
        <f>FHD_P_73</f>
        <v>Среднесписочная численность административно-управленческого персонала</v>
      </c>
      <c r="G113" s="970" t="s">
        <v>598</v>
      </c>
      <c r="H113" s="968"/>
      <c r="I113" s="968"/>
      <c r="J113" s="289" t="str">
        <f>FHD_NOTE_P_73</f>
        <v/>
      </c>
      <c r="K113" s="543"/>
      <c r="AF113" s="1631">
        <v>0</v>
      </c>
    </row>
    <row customHeight="1" ht="33.75" hidden="1">
      <c r="A114" s="989" t="s">
        <v>600</v>
      </c>
      <c r="D114" s="1638"/>
      <c r="E114" s="546" t="str">
        <f>FHD_NUM_P_74</f>
        <v/>
      </c>
      <c r="F114" s="1880" t="str">
        <f>FHD_P_74</f>
        <v/>
      </c>
      <c r="G114" s="1876" t="s">
        <v>601</v>
      </c>
      <c r="H114" s="577"/>
      <c r="I114" s="577"/>
      <c r="J114" s="289" t="str">
        <f>FHD_NOTE_P_74</f>
        <v/>
      </c>
      <c r="K114" s="543"/>
      <c r="AF114" s="1631">
        <v>0</v>
      </c>
    </row>
    <row s="1635" customFormat="1" customHeight="1" ht="18.75" hidden="1">
      <c r="A115" s="2373" t="s">
        <v>602</v>
      </c>
      <c r="B115" s="910"/>
      <c r="C115" s="735"/>
      <c r="D115" s="733"/>
      <c r="E115" s="546" t="str">
        <f>FHD_NUM_P_75</f>
        <v/>
      </c>
      <c r="F115" s="1880" t="str">
        <f>FHD_P_75</f>
        <v/>
      </c>
      <c r="G115" s="1876" t="s">
        <v>566</v>
      </c>
      <c r="H115" s="557"/>
      <c r="I115" s="557"/>
      <c r="J115" s="289" t="str">
        <f>FHD_NOTE_P_75</f>
        <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hidden="1">
      <c r="A116" s="2373"/>
      <c r="B116" s="910"/>
      <c r="C116" s="735"/>
      <c r="D116" s="733"/>
      <c r="E116" s="546" t="str">
        <f>FHD_NUM_P_76</f>
        <v/>
      </c>
      <c r="F116" s="1880" t="str">
        <f>FHD_P_76</f>
        <v/>
      </c>
      <c r="G116" s="1876" t="s">
        <v>566</v>
      </c>
      <c r="H116" s="557"/>
      <c r="I116" s="557"/>
      <c r="J116" s="289" t="str">
        <f>FHD_NOTE_P_76</f>
        <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hidden="1">
      <c r="A117" s="2373"/>
      <c r="B117" s="910"/>
      <c r="C117" s="735"/>
      <c r="D117" s="733"/>
      <c r="E117" s="546" t="str">
        <f>FHD_NUM_P_77</f>
        <v/>
      </c>
      <c r="F117" s="1880" t="str">
        <f>FHD_P_77</f>
        <v/>
      </c>
      <c r="G117" s="1876" t="s">
        <v>566</v>
      </c>
      <c r="H117" s="557"/>
      <c r="I117" s="557"/>
      <c r="J117" s="289" t="str">
        <f>FHD_NOTE_P_77</f>
        <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hidden="1">
      <c r="A118" s="2373"/>
      <c r="D118" s="548"/>
      <c r="E118" s="1013" t="str">
        <f>E117&amp;".0"</f>
        <v>.0</v>
      </c>
      <c r="F118" s="997"/>
      <c r="G118" s="1651"/>
      <c r="H118" s="992"/>
      <c r="I118" s="992"/>
      <c r="J118" s="996"/>
      <c r="AF118" s="1636">
        <v>0</v>
      </c>
    </row>
    <row s="1635" customFormat="1" customHeight="1" ht="15" hidden="1">
      <c r="A119" s="2373"/>
      <c r="B119" s="910"/>
      <c r="C119" s="735"/>
      <c r="D119" s="746"/>
      <c r="E119" s="973"/>
      <c r="F119" s="974" t="s">
        <v>603</v>
      </c>
      <c r="G119" s="747"/>
      <c r="H119" s="748"/>
      <c r="I119" s="748"/>
      <c r="J119" s="1003" t="s">
        <v>604</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c r="A120" s="2371" t="s">
        <v>605</v>
      </c>
      <c r="D120" s="1638"/>
      <c r="E120" s="546" t="str">
        <f>FHD_NUM_P_78</f>
        <v>15</v>
      </c>
      <c r="F120" s="1880"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7" t="s">
        <v>568</v>
      </c>
      <c r="H120" s="577"/>
      <c r="I120" s="577"/>
      <c r="J120" s="289" t="str">
        <f>FHD_NOTE_P_78</f>
        <v/>
      </c>
      <c r="K120" s="543"/>
      <c r="AF120" s="1631">
        <v>0</v>
      </c>
    </row>
    <row s="1642" customFormat="1" customHeight="1" ht="0.75">
      <c r="A121" s="2371"/>
      <c r="D121" s="548"/>
      <c r="E121" s="1013" t="str">
        <f>E120&amp;".0"</f>
        <v>15.0</v>
      </c>
      <c r="F121" s="997"/>
      <c r="G121" s="1651"/>
      <c r="H121" s="992"/>
      <c r="I121" s="992"/>
      <c r="J121" s="996"/>
      <c r="AF121" s="1636">
        <v>0</v>
      </c>
    </row>
    <row customHeight="1" ht="15">
      <c r="A122" s="2371"/>
      <c r="D122" s="1633"/>
      <c r="E122" s="570"/>
      <c r="F122" s="1168" t="s">
        <v>594</v>
      </c>
      <c r="G122" s="572"/>
      <c r="H122" s="573"/>
      <c r="I122" s="573"/>
      <c r="J122" s="1004" t="s">
        <v>606</v>
      </c>
      <c r="K122" s="543"/>
      <c r="AF122" s="1631">
        <v>0</v>
      </c>
    </row>
    <row customHeight="1" ht="22.5">
      <c r="A123" s="2371"/>
      <c r="D123" s="1638"/>
      <c r="E123" s="546" t="str">
        <f>FHD_NUM_P_79</f>
        <v>16</v>
      </c>
      <c r="F123" s="1880"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8" t="s">
        <v>570</v>
      </c>
      <c r="H123" s="577"/>
      <c r="I123" s="577"/>
      <c r="J123" s="289"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3"/>
      <c r="AF123" s="1631">
        <v>0</v>
      </c>
    </row>
    <row s="1642" customFormat="1" customHeight="1" ht="0.75">
      <c r="A124" s="2371"/>
      <c r="D124" s="548"/>
      <c r="E124" s="1013" t="str">
        <f>E123&amp;".0"</f>
        <v>16.0</v>
      </c>
      <c r="F124" s="998"/>
      <c r="G124" s="1651"/>
      <c r="H124" s="992"/>
      <c r="I124" s="992"/>
      <c r="J124" s="996"/>
      <c r="AF124" s="1636">
        <v>0</v>
      </c>
    </row>
    <row customHeight="1" ht="15">
      <c r="A125" s="2371"/>
      <c r="D125" s="1633"/>
      <c r="E125" s="570"/>
      <c r="F125" s="1168" t="s">
        <v>594</v>
      </c>
      <c r="G125" s="572"/>
      <c r="H125" s="573"/>
      <c r="I125" s="573"/>
      <c r="J125" s="1004" t="s">
        <v>607</v>
      </c>
      <c r="K125" s="543"/>
      <c r="AF125" s="1631">
        <v>0</v>
      </c>
    </row>
    <row customHeight="1" ht="22.5">
      <c r="A126" s="2371"/>
      <c r="D126" s="1638"/>
      <c r="E126" s="546" t="str">
        <f>FHD_NUM_P_80</f>
        <v>17</v>
      </c>
      <c r="F126" s="1880"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8" t="s">
        <v>608</v>
      </c>
      <c r="H126" s="557"/>
      <c r="I126" s="557"/>
      <c r="J126" s="289" t="str">
        <f>FHD_NOTE_P_80</f>
        <v>Регулируемыми организациями указывается информация с по договорам, заключенным в рамках осуществления регулируемой деятельности.</v>
      </c>
      <c r="K126" s="543"/>
      <c r="AF126" s="1631">
        <v>0</v>
      </c>
    </row>
    <row customHeight="1" ht="18.75">
      <c r="A127" s="2371"/>
      <c r="D127" s="1638"/>
      <c r="E127" s="546" t="str">
        <f>FHD_NUM_P_81</f>
        <v>18</v>
      </c>
      <c r="F127" s="1880"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8" t="s">
        <v>609</v>
      </c>
      <c r="H127" s="557"/>
      <c r="I127" s="557"/>
      <c r="J127" s="289" t="str">
        <f>FHD_NOTE_P_81</f>
        <v>Регулируемыми организациями указывается информация с по договорам, заключенным в рамках осуществления регулируемой деятельности.</v>
      </c>
      <c r="K127" s="543"/>
      <c r="AF127" s="1631">
        <v>0</v>
      </c>
    </row>
    <row customHeight="1" ht="18.75">
      <c r="A128" s="2371"/>
      <c r="C128" s="1636" t="s">
        <v>596</v>
      </c>
      <c r="D128" s="1638"/>
      <c r="E128" s="546" t="str">
        <f>FHD_NUM_P_82</f>
        <v>19</v>
      </c>
      <c r="F128" s="1880"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8" t="s">
        <v>314</v>
      </c>
      <c r="H128" s="401"/>
      <c r="I128" s="401"/>
      <c r="J128" s="289" t="str">
        <f>FHD_NOTE_P_82</f>
        <v>Указывается ссылка на документ, предварительно загруженный в хранилище файлов ФГИС ЕИАС.</v>
      </c>
      <c r="K128" s="543"/>
      <c r="AF128" s="1631">
        <v>0</v>
      </c>
    </row>
    <row customHeight="1" ht="18.75">
      <c r="A129" s="2371"/>
      <c r="C129" s="1636" t="s">
        <v>596</v>
      </c>
      <c r="D129" s="1638"/>
      <c r="E129" s="546" t="str">
        <f>FHD_NUM_P_83</f>
        <v>19.1</v>
      </c>
      <c r="F129" s="1524" t="str">
        <f>FHD_P_83</f>
        <v>Информация о показателях физического износа объектов теплоснабжения</v>
      </c>
      <c r="G129" s="1878" t="s">
        <v>314</v>
      </c>
      <c r="H129" s="401"/>
      <c r="I129" s="401"/>
      <c r="J129" s="289" t="str">
        <f>FHD_NOTE_P_83</f>
        <v>Указывается ссылка на документ, предварительно загруженный в хранилище файлов ФГИС ЕИАС.</v>
      </c>
      <c r="K129" s="543"/>
      <c r="AF129" s="1631">
        <v>0</v>
      </c>
    </row>
    <row customHeight="1" ht="18.75">
      <c r="A130" s="2371"/>
      <c r="C130" s="1636" t="s">
        <v>596</v>
      </c>
      <c r="D130" s="1638"/>
      <c r="E130" s="546" t="str">
        <f>FHD_NUM_P_84</f>
        <v>19.2</v>
      </c>
      <c r="F130" s="1524" t="str">
        <f>FHD_P_84</f>
        <v>Информация о показателях энергетической эффективности объектов теплоснабжения</v>
      </c>
      <c r="G130" s="1878" t="s">
        <v>314</v>
      </c>
      <c r="H130" s="401"/>
      <c r="I130" s="401"/>
      <c r="J130" s="289" t="str">
        <f>FHD_NOTE_P_84</f>
        <v>Указывается ссылка на документ, предварительно загруженный в хранилище файлов ФГИС ЕИАС.</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86</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2E7E59-E2BE-BFDE-D6A8-2872757C0FD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11. Информация о расходах на капитальный и текущий ремонт основных средств</v>
      </c>
      <c r="F5" s="2237"/>
      <c r="G5" s="2237"/>
      <c r="H5" s="2237"/>
      <c r="I5" s="2237"/>
      <c r="J5" s="2237"/>
      <c r="K5" s="2237"/>
      <c r="L5" s="613"/>
      <c r="M5" s="613"/>
      <c r="CF5" s="505">
        <v>28</v>
      </c>
    </row>
    <row s="1635" customFormat="1" customHeight="1" ht="16.8">
      <c r="A6" s="610"/>
      <c r="B6" s="759"/>
      <c r="C6" s="509"/>
      <c r="D6" s="1058"/>
      <c r="E6" s="2176" t="str">
        <f>IF(org=0,"Не определено",org)</f>
        <v>ООО "Энерго-Сервис"</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308</v>
      </c>
      <c r="F9" s="2102"/>
      <c r="G9" s="2102"/>
      <c r="H9" s="2102"/>
      <c r="I9" s="2102"/>
      <c r="J9" s="2102"/>
      <c r="K9" s="2102"/>
      <c r="L9" s="2102"/>
      <c r="M9" s="2102"/>
      <c r="N9" s="2102"/>
      <c r="O9" s="2102"/>
      <c r="P9" s="2102"/>
      <c r="Q9" s="2102"/>
      <c r="R9" s="2103"/>
      <c r="S9" s="2127" t="s">
        <v>309</v>
      </c>
      <c r="T9" s="334"/>
      <c r="CF9" s="505">
        <v>19</v>
      </c>
    </row>
    <row customHeight="1" ht="48.29999999999999">
      <c r="D10" s="551" t="s">
        <v>92</v>
      </c>
      <c r="E10" s="2127" t="s">
        <v>92</v>
      </c>
      <c r="F10" s="2127"/>
      <c r="G10" s="521" t="s">
        <v>310</v>
      </c>
      <c r="H10" s="2127" t="s">
        <v>92</v>
      </c>
      <c r="I10" s="2127"/>
      <c r="J10" s="521" t="s">
        <v>610</v>
      </c>
      <c r="K10" s="521" t="s">
        <v>611</v>
      </c>
      <c r="L10" s="2127" t="s">
        <v>92</v>
      </c>
      <c r="M10" s="2127"/>
      <c r="N10" s="521" t="s">
        <v>612</v>
      </c>
      <c r="O10" s="521" t="s">
        <v>613</v>
      </c>
      <c r="P10" s="521" t="s">
        <v>614</v>
      </c>
      <c r="Q10" s="521" t="s">
        <v>615</v>
      </c>
      <c r="R10" s="521" t="s">
        <v>616</v>
      </c>
      <c r="S10" s="2127"/>
      <c r="T10" s="334"/>
      <c r="CF10" s="505">
        <v>46</v>
      </c>
    </row>
    <row s="1642" customFormat="1" customHeight="1" ht="15" hidden="1">
      <c r="A11" s="1052"/>
      <c r="D11" s="1025" t="s">
        <v>113</v>
      </c>
      <c r="E11" s="1025"/>
      <c r="F11" s="1025" t="s">
        <v>114</v>
      </c>
      <c r="G11" s="1025" t="s">
        <v>94</v>
      </c>
      <c r="H11" s="1025"/>
      <c r="I11" s="1025" t="s">
        <v>95</v>
      </c>
      <c r="J11" s="1025" t="s">
        <v>115</v>
      </c>
      <c r="K11" s="1025" t="s">
        <v>96</v>
      </c>
      <c r="L11" s="1025"/>
      <c r="M11" s="1025" t="s">
        <v>97</v>
      </c>
      <c r="N11" s="1025" t="s">
        <v>116</v>
      </c>
      <c r="O11" s="1025" t="s">
        <v>152</v>
      </c>
      <c r="P11" s="1025" t="s">
        <v>153</v>
      </c>
      <c r="Q11" s="1025" t="s">
        <v>154</v>
      </c>
      <c r="R11" s="1025" t="s">
        <v>155</v>
      </c>
      <c r="S11" s="1025" t="s">
        <v>156</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384</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121</v>
      </c>
      <c r="B14" s="624"/>
      <c r="C14" s="624"/>
      <c r="D14" s="2380" t="s">
        <v>113</v>
      </c>
      <c r="E14" s="2377" t="s">
        <v>109</v>
      </c>
      <c r="F14" s="2378"/>
      <c r="G14" s="2379"/>
      <c r="H14" s="2383">
        <f>IF(A14="","",INDEX(DIFFERENTIATION_UNMERGE_VD,MATCH(A14,DIFFERENTIATION_ID_DIFF,0)))</f>
        <v>0</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28</v>
      </c>
      <c r="AF14" s="630"/>
      <c r="AG14" s="631" t="s">
        <v>617</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572</v>
      </c>
      <c r="F15" s="2378"/>
      <c r="G15" s="2379"/>
      <c r="H15" s="2383" t="str">
        <f>IF(A14="","",INDEX(DIFFERENTIATION_UNMERGE_AREA,MATCH(A14,DIFFERENTIATION_ID_DIFF,0)))</f>
        <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573</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618</v>
      </c>
      <c r="F17" s="2376"/>
      <c r="G17" s="2376"/>
      <c r="H17" s="2376"/>
      <c r="I17" s="2376"/>
      <c r="J17" s="2376"/>
      <c r="K17" s="2376"/>
      <c r="L17" s="2376"/>
      <c r="M17" s="2376"/>
      <c r="N17" s="2376"/>
      <c r="O17" s="2376"/>
      <c r="P17" s="2376"/>
      <c r="Q17" s="558">
        <f>SUMIF(T18:T19,"i",Q18:Q19)</f>
        <v>0</v>
      </c>
      <c r="R17" s="1017"/>
      <c r="S17" s="897" t="s">
        <v>619</v>
      </c>
      <c r="T17" s="717" t="s">
        <v>620</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28</v>
      </c>
      <c r="F19" s="650" t="s">
        <v>28</v>
      </c>
      <c r="G19" s="650" t="s">
        <v>28</v>
      </c>
      <c r="H19" s="651" t="s">
        <v>28</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621</v>
      </c>
      <c r="F20" s="2376"/>
      <c r="G20" s="2376"/>
      <c r="H20" s="2376"/>
      <c r="I20" s="2376"/>
      <c r="J20" s="2376"/>
      <c r="K20" s="2376"/>
      <c r="L20" s="2376"/>
      <c r="M20" s="2376"/>
      <c r="N20" s="2376"/>
      <c r="O20" s="2376"/>
      <c r="P20" s="2376"/>
      <c r="Q20" s="558">
        <f>SUMIF(T21:T22,"i",Q21:Q22)</f>
        <v>0</v>
      </c>
      <c r="R20" s="1017"/>
      <c r="S20" s="709" t="s">
        <v>622</v>
      </c>
      <c r="T20" s="717" t="s">
        <v>620</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28</v>
      </c>
      <c r="F22" s="650" t="s">
        <v>28</v>
      </c>
      <c r="G22" s="650" t="s">
        <v>28</v>
      </c>
      <c r="H22" s="651" t="s">
        <v>28</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86</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CB08EF-D824-9EF4-BF18-E81F9E91283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623</v>
      </c>
      <c r="C2" s="2053" t="s">
        <v>624</v>
      </c>
      <c r="D2" s="2052" t="s">
        <v>625</v>
      </c>
      <c r="E2" s="2056">
        <f>RIGHT(I2,LEN(I2)-SEARCH("#",SUBSTITUTE(I2,".","#",LEN(I2)-LEN(SUBSTITUTE(I2,".","")))))</f>
      </c>
      <c r="F2" s="2058">
        <f>J2</f>
        <v>0</v>
      </c>
      <c r="G2" s="1636"/>
      <c r="H2" s="2059"/>
      <c r="I2" s="2049"/>
      <c r="J2" s="540"/>
      <c r="K2" s="2019" t="s">
        <v>564</v>
      </c>
      <c r="L2" s="751"/>
      <c r="M2" s="751"/>
      <c r="N2" s="543"/>
      <c r="O2" s="1525" t="s">
        <v>565</v>
      </c>
      <c r="P2" s="543"/>
      <c r="Q2" s="1636"/>
      <c r="R2" s="1636"/>
      <c r="W2" s="1636"/>
      <c r="Z2" s="544"/>
      <c r="AF2" s="1632"/>
      <c r="AG2" s="1632"/>
      <c r="AH2" s="1632"/>
      <c r="AI2" s="1632"/>
      <c r="AJ2" s="1632"/>
      <c r="AK2" s="1366">
        <v>0</v>
      </c>
    </row>
    <row customHeight="1" ht="11.25" hidden="1">
      <c r="E3" s="2051" t="s">
        <v>626</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627</v>
      </c>
      <c r="J6" s="2307"/>
      <c r="K6" s="2307"/>
      <c r="L6" s="2307"/>
      <c r="M6" s="2307"/>
      <c r="O6" s="556"/>
      <c r="AK6" s="1631">
        <v>55</v>
      </c>
    </row>
    <row customHeight="1" ht="25.2">
      <c r="I7" s="2249" t="str">
        <f>IF(org=0,"Не определено",org)</f>
        <v>ООО "Энерго-Сервис"</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121</v>
      </c>
      <c r="AK9" s="1636">
        <v>1</v>
      </c>
    </row>
    <row customHeight="1" ht="11.549999999999999">
      <c r="E10" s="2050" t="s">
        <v>628</v>
      </c>
      <c r="I10" s="711"/>
      <c r="J10" s="2367" t="s">
        <v>109</v>
      </c>
      <c r="K10" s="2368"/>
      <c r="L10" s="2029" t="str">
        <f>IF(L9="","",INDEX(DIFFERENTIATION_UNMERGE_VD,MATCH(L9,DIFFERENTIATION_ID_DIFF,0)))</f>
        <v/>
      </c>
      <c r="M10" s="2029">
        <f>IF(M9="","",INDEX(DIFFERENTIATION_UNMERGE_VD,MATCH(M9,DIFFERENTIATION_ID_DIFF,0)))</f>
        <v>0</v>
      </c>
      <c r="O10" s="2127" t="s">
        <v>309</v>
      </c>
      <c r="AK10" s="1631">
        <v>11</v>
      </c>
    </row>
    <row customHeight="1" ht="11.549999999999999">
      <c r="E11" s="2050" t="s">
        <v>629</v>
      </c>
      <c r="I11" s="711"/>
      <c r="J11" s="2367" t="s">
        <v>572</v>
      </c>
      <c r="K11" s="2368"/>
      <c r="L11" s="2029" t="str">
        <f>IF(L9="","",INDEX(DIFFERENTIATION_UNMERGE_AREA,MATCH(L9,DIFFERENTIATION_ID_DIFF,0)))</f>
        <v/>
      </c>
      <c r="M11" s="2029" t="str">
        <f>IF(M9="","",INDEX(DIFFERENTIATION_UNMERGE_AREA,MATCH(M9,DIFFERENTIATION_ID_DIFF,0)))</f>
        <v/>
      </c>
      <c r="O11" s="2127"/>
      <c r="AK11" s="1631">
        <v>11</v>
      </c>
    </row>
    <row customHeight="1" ht="11.549999999999999">
      <c r="E12" s="2050" t="s">
        <v>630</v>
      </c>
      <c r="I12" s="1662"/>
      <c r="J12" s="2367" t="s">
        <v>573</v>
      </c>
      <c r="K12" s="2368"/>
      <c r="L12" s="2029" t="str">
        <f>IF(L9="","",INDEX(DIFFERENTIATION_UNMERGE_SYSTEM,MATCH(L9,DIFFERENTIATION_ID_DIFF,0)))</f>
        <v/>
      </c>
      <c r="M12" s="2029" t="str">
        <f>IF(M9="","",INDEX(DIFFERENTIATION_UNMERGE_SYSTEM,MATCH(M9,DIFFERENTIATION_ID_DIFF,0)))</f>
        <v>без дифференциации</v>
      </c>
      <c r="O12" s="2127"/>
      <c r="AK12" s="1631">
        <v>11</v>
      </c>
    </row>
    <row customHeight="1" ht="11.549999999999999">
      <c r="E13" s="2050" t="s">
        <v>631</v>
      </c>
      <c r="F13" s="2050" t="s">
        <v>632</v>
      </c>
      <c r="I13" s="2369" t="s">
        <v>308</v>
      </c>
      <c r="J13" s="2370"/>
      <c r="K13" s="2370"/>
      <c r="L13" s="2027"/>
      <c r="M13" s="2067"/>
      <c r="O13" s="2127"/>
      <c r="AK13" s="1631">
        <v>11</v>
      </c>
    </row>
    <row customHeight="1" ht="24">
      <c r="I14" s="2020" t="s">
        <v>92</v>
      </c>
      <c r="J14" s="2020" t="s">
        <v>310</v>
      </c>
      <c r="K14" s="2020" t="s">
        <v>574</v>
      </c>
      <c r="L14" s="2060" t="s">
        <v>311</v>
      </c>
      <c r="M14" s="2061" t="s">
        <v>311</v>
      </c>
      <c r="O14" s="2127"/>
      <c r="AK14" s="1631">
        <v>23</v>
      </c>
    </row>
    <row customHeight="1" ht="24">
      <c r="A15" s="2054"/>
      <c r="B15" s="2053" t="s">
        <v>633</v>
      </c>
      <c r="C15" s="2053" t="s">
        <v>634</v>
      </c>
      <c r="D15" s="2052" t="s">
        <v>635</v>
      </c>
      <c r="E15" s="2056" t="s">
        <v>636</v>
      </c>
      <c r="F15" s="2056" t="s">
        <v>636</v>
      </c>
      <c r="G15" s="1636" t="s">
        <v>596</v>
      </c>
      <c r="H15" s="2021"/>
      <c r="I15" s="1630">
        <v>1</v>
      </c>
      <c r="J15" s="2022" t="s">
        <v>637</v>
      </c>
      <c r="K15" s="2020" t="s">
        <v>314</v>
      </c>
      <c r="L15" s="662"/>
      <c r="M15" s="818"/>
      <c r="N15" s="543" t="s">
        <v>638</v>
      </c>
      <c r="O15" s="1525" t="s">
        <v>639</v>
      </c>
      <c r="P15" s="543" t="s">
        <v>638</v>
      </c>
      <c r="AK15" s="1631">
        <v>23</v>
      </c>
    </row>
    <row customHeight="1" ht="35.699999999999996">
      <c r="A16" s="2054"/>
      <c r="B16" s="2053" t="s">
        <v>640</v>
      </c>
      <c r="C16" s="2053" t="s">
        <v>641</v>
      </c>
      <c r="D16" s="2052" t="s">
        <v>625</v>
      </c>
      <c r="E16" s="2056" t="s">
        <v>636</v>
      </c>
      <c r="F16" s="2056" t="s">
        <v>636</v>
      </c>
      <c r="H16" s="2021"/>
      <c r="I16" s="1629">
        <v>2</v>
      </c>
      <c r="J16" s="2063" t="s">
        <v>642</v>
      </c>
      <c r="K16" s="2062" t="s">
        <v>564</v>
      </c>
      <c r="L16" s="2068"/>
      <c r="M16" s="1676"/>
      <c r="N16" s="543" t="s">
        <v>638</v>
      </c>
      <c r="O16" s="1525" t="s">
        <v>643</v>
      </c>
      <c r="P16" s="543" t="s">
        <v>638</v>
      </c>
      <c r="AK16" s="1631">
        <v>34</v>
      </c>
    </row>
    <row s="1642" customFormat="1" customHeight="1" ht="17.25" hidden="1">
      <c r="A17" s="1167"/>
      <c r="B17" s="1167"/>
      <c r="C17" s="1167"/>
      <c r="D17" s="1167"/>
      <c r="E17" s="1167"/>
      <c r="H17" s="1324"/>
      <c r="I17" s="1013" t="s">
        <v>644</v>
      </c>
      <c r="J17" s="991"/>
      <c r="K17" s="1013"/>
      <c r="L17" s="992"/>
      <c r="M17" s="992"/>
      <c r="O17" s="1385"/>
      <c r="AK17" s="1636">
        <v>1</v>
      </c>
    </row>
    <row s="1366" customFormat="1" customHeight="1" ht="24">
      <c r="A18" s="987"/>
      <c r="B18" s="987"/>
      <c r="C18" s="987"/>
      <c r="D18" s="987"/>
      <c r="E18" s="987"/>
      <c r="G18" s="1636"/>
      <c r="H18" s="1633"/>
      <c r="I18" s="570"/>
      <c r="J18" s="571" t="s">
        <v>594</v>
      </c>
      <c r="K18" s="572"/>
      <c r="L18" s="2070"/>
      <c r="M18" s="573"/>
      <c r="N18" s="543"/>
      <c r="O18" s="1525" t="s">
        <v>595</v>
      </c>
      <c r="P18" s="543"/>
      <c r="Q18" s="1636"/>
      <c r="R18" s="1636"/>
      <c r="W18" s="1636"/>
      <c r="Z18" s="544"/>
      <c r="AF18" s="1632"/>
      <c r="AG18" s="1632"/>
      <c r="AH18" s="1632"/>
      <c r="AI18" s="1632"/>
      <c r="AJ18" s="1632"/>
      <c r="AK18" s="1366">
        <v>23</v>
      </c>
    </row>
    <row customHeight="1" ht="19.95">
      <c r="A19" s="2054"/>
      <c r="B19" s="2053" t="s">
        <v>645</v>
      </c>
      <c r="C19" s="2053" t="s">
        <v>646</v>
      </c>
      <c r="D19" s="2052" t="s">
        <v>625</v>
      </c>
      <c r="E19" s="2056" t="s">
        <v>636</v>
      </c>
      <c r="F19" s="2056" t="s">
        <v>636</v>
      </c>
      <c r="H19" s="2021"/>
      <c r="I19" s="1664">
        <v>3</v>
      </c>
      <c r="J19" s="2022" t="s">
        <v>646</v>
      </c>
      <c r="K19" s="2018" t="s">
        <v>564</v>
      </c>
      <c r="L19" s="727"/>
      <c r="M19" s="557"/>
      <c r="N19" s="543"/>
      <c r="O19" s="1525" t="s">
        <v>647</v>
      </c>
      <c r="P19" s="543"/>
      <c r="AK19" s="1631">
        <v>19</v>
      </c>
    </row>
    <row customHeight="1" ht="77.7">
      <c r="A20" s="2054"/>
      <c r="B20" s="2053" t="s">
        <v>648</v>
      </c>
      <c r="C20" s="2053" t="s">
        <v>649</v>
      </c>
      <c r="D20" s="2052" t="s">
        <v>625</v>
      </c>
      <c r="E20" s="2056" t="s">
        <v>636</v>
      </c>
      <c r="F20" s="2056" t="s">
        <v>636</v>
      </c>
      <c r="H20" s="2021"/>
      <c r="I20" s="1664">
        <v>4</v>
      </c>
      <c r="J20" s="2022" t="s">
        <v>650</v>
      </c>
      <c r="K20" s="2018" t="s">
        <v>591</v>
      </c>
      <c r="L20" s="727"/>
      <c r="M20" s="557"/>
      <c r="N20" s="543"/>
      <c r="O20" s="1525"/>
      <c r="P20" s="543"/>
      <c r="AK20" s="1631">
        <v>74</v>
      </c>
    </row>
    <row customHeight="1" ht="35.699999999999996">
      <c r="A21" s="2054"/>
      <c r="B21" s="2053" t="s">
        <v>651</v>
      </c>
      <c r="C21" s="2053" t="s">
        <v>652</v>
      </c>
      <c r="D21" s="2052" t="s">
        <v>625</v>
      </c>
      <c r="E21" s="2056" t="s">
        <v>636</v>
      </c>
      <c r="F21" s="2056" t="s">
        <v>636</v>
      </c>
      <c r="H21" s="2021"/>
      <c r="I21" s="1664">
        <v>5</v>
      </c>
      <c r="J21" s="2022" t="s">
        <v>653</v>
      </c>
      <c r="K21" s="2018" t="s">
        <v>591</v>
      </c>
      <c r="L21" s="727"/>
      <c r="M21" s="557"/>
      <c r="N21" s="543"/>
      <c r="O21" s="1525" t="s">
        <v>647</v>
      </c>
      <c r="P21" s="543"/>
      <c r="AK21" s="1631">
        <v>34</v>
      </c>
    </row>
    <row customHeight="1" ht="48.29999999999999">
      <c r="A22" s="2054"/>
      <c r="B22" s="2053" t="s">
        <v>654</v>
      </c>
      <c r="C22" s="2053" t="s">
        <v>655</v>
      </c>
      <c r="D22" s="2052" t="s">
        <v>625</v>
      </c>
      <c r="E22" s="2056" t="s">
        <v>636</v>
      </c>
      <c r="F22" s="2056" t="s">
        <v>636</v>
      </c>
      <c r="H22" s="2021"/>
      <c r="I22" s="1664">
        <v>6</v>
      </c>
      <c r="J22" s="2022" t="s">
        <v>656</v>
      </c>
      <c r="K22" s="2018" t="s">
        <v>591</v>
      </c>
      <c r="L22" s="727"/>
      <c r="M22" s="557"/>
      <c r="N22" s="543"/>
      <c r="O22" s="1525" t="s">
        <v>657</v>
      </c>
      <c r="P22" s="543"/>
      <c r="AK22" s="1631">
        <v>46</v>
      </c>
    </row>
    <row customHeight="1" ht="19.95">
      <c r="A23" s="2054"/>
      <c r="B23" s="2053" t="s">
        <v>658</v>
      </c>
      <c r="C23" s="2053" t="s">
        <v>659</v>
      </c>
      <c r="D23" s="2052" t="s">
        <v>625</v>
      </c>
      <c r="E23" s="2056" t="s">
        <v>636</v>
      </c>
      <c r="F23" s="2056" t="s">
        <v>636</v>
      </c>
      <c r="H23" s="2021"/>
      <c r="I23" s="1664" t="s">
        <v>660</v>
      </c>
      <c r="J23" s="1524" t="s">
        <v>661</v>
      </c>
      <c r="K23" s="2018" t="s">
        <v>591</v>
      </c>
      <c r="L23" s="727"/>
      <c r="M23" s="557"/>
      <c r="N23" s="543"/>
      <c r="O23" s="1525" t="s">
        <v>647</v>
      </c>
      <c r="P23" s="543"/>
      <c r="AK23" s="1631">
        <v>19</v>
      </c>
    </row>
    <row customHeight="1" ht="19.95">
      <c r="A24" s="2054"/>
      <c r="B24" s="2053" t="s">
        <v>662</v>
      </c>
      <c r="C24" s="2053" t="s">
        <v>663</v>
      </c>
      <c r="D24" s="2052" t="s">
        <v>625</v>
      </c>
      <c r="E24" s="2056" t="s">
        <v>636</v>
      </c>
      <c r="F24" s="2056" t="s">
        <v>636</v>
      </c>
      <c r="H24" s="2021"/>
      <c r="I24" s="1664" t="s">
        <v>664</v>
      </c>
      <c r="J24" s="1524" t="s">
        <v>665</v>
      </c>
      <c r="K24" s="2018" t="s">
        <v>591</v>
      </c>
      <c r="L24" s="727"/>
      <c r="M24" s="557"/>
      <c r="N24" s="543"/>
      <c r="O24" s="1525"/>
      <c r="P24" s="543"/>
      <c r="AK24" s="1631">
        <v>19</v>
      </c>
    </row>
    <row customHeight="1" ht="24">
      <c r="A25" s="2054"/>
      <c r="B25" s="2053" t="s">
        <v>666</v>
      </c>
      <c r="C25" s="2053" t="s">
        <v>667</v>
      </c>
      <c r="D25" s="2052" t="s">
        <v>625</v>
      </c>
      <c r="E25" s="2056" t="s">
        <v>636</v>
      </c>
      <c r="F25" s="2056" t="s">
        <v>636</v>
      </c>
      <c r="H25" s="2021"/>
      <c r="I25" s="1664" t="s">
        <v>668</v>
      </c>
      <c r="J25" s="1524" t="s">
        <v>669</v>
      </c>
      <c r="K25" s="2018" t="s">
        <v>591</v>
      </c>
      <c r="L25" s="727"/>
      <c r="M25" s="557"/>
      <c r="N25" s="543"/>
      <c r="O25" s="1525"/>
      <c r="P25" s="543"/>
      <c r="AK25" s="1631">
        <v>23</v>
      </c>
    </row>
    <row customHeight="1" ht="24">
      <c r="A26" s="2054"/>
      <c r="B26" s="2053" t="s">
        <v>670</v>
      </c>
      <c r="C26" s="2053" t="s">
        <v>671</v>
      </c>
      <c r="D26" s="2052" t="s">
        <v>625</v>
      </c>
      <c r="E26" s="2056" t="s">
        <v>636</v>
      </c>
      <c r="F26" s="2056" t="s">
        <v>636</v>
      </c>
      <c r="H26" s="2021"/>
      <c r="I26" s="1664">
        <v>7</v>
      </c>
      <c r="J26" s="2022" t="s">
        <v>671</v>
      </c>
      <c r="K26" s="2018" t="s">
        <v>672</v>
      </c>
      <c r="L26" s="727"/>
      <c r="M26" s="557"/>
      <c r="N26" s="543"/>
      <c r="O26" s="1525"/>
      <c r="P26" s="543"/>
      <c r="AK26" s="1631">
        <v>23</v>
      </c>
    </row>
    <row customHeight="1" ht="24">
      <c r="A27" s="2054"/>
      <c r="B27" s="2053" t="s">
        <v>673</v>
      </c>
      <c r="C27" s="2053" t="s">
        <v>674</v>
      </c>
      <c r="D27" s="2052" t="s">
        <v>625</v>
      </c>
      <c r="E27" s="2056" t="s">
        <v>636</v>
      </c>
      <c r="F27" s="2056" t="s">
        <v>636</v>
      </c>
      <c r="H27" s="2021"/>
      <c r="I27" s="1664">
        <v>8</v>
      </c>
      <c r="J27" s="2022" t="s">
        <v>674</v>
      </c>
      <c r="K27" s="2018" t="s">
        <v>597</v>
      </c>
      <c r="L27" s="727"/>
      <c r="M27" s="557"/>
      <c r="N27" s="543"/>
      <c r="O27" s="1525"/>
      <c r="P27" s="543"/>
      <c r="AK27" s="1631">
        <v>23</v>
      </c>
    </row>
    <row customHeight="1" ht="35.699999999999996">
      <c r="A28" s="2054"/>
      <c r="B28" s="2053" t="s">
        <v>675</v>
      </c>
      <c r="C28" s="2053" t="s">
        <v>676</v>
      </c>
      <c r="D28" s="2052" t="s">
        <v>625</v>
      </c>
      <c r="E28" s="2056" t="s">
        <v>636</v>
      </c>
      <c r="F28" s="2056" t="s">
        <v>636</v>
      </c>
      <c r="H28" s="2021"/>
      <c r="I28" s="1675">
        <v>9</v>
      </c>
      <c r="J28" s="2022" t="s">
        <v>677</v>
      </c>
      <c r="K28" s="2018" t="s">
        <v>568</v>
      </c>
      <c r="L28" s="727"/>
      <c r="M28" s="557"/>
      <c r="N28" s="543"/>
      <c r="O28" s="1525"/>
      <c r="P28" s="543"/>
      <c r="AK28" s="1631">
        <v>34</v>
      </c>
    </row>
    <row customHeight="1" ht="35.699999999999996">
      <c r="A29" s="2054"/>
      <c r="B29" s="2053" t="s">
        <v>678</v>
      </c>
      <c r="C29" s="2053" t="s">
        <v>679</v>
      </c>
      <c r="D29" s="2052" t="s">
        <v>625</v>
      </c>
      <c r="E29" s="2056" t="s">
        <v>636</v>
      </c>
      <c r="F29" s="2056" t="s">
        <v>636</v>
      </c>
      <c r="H29" s="2021"/>
      <c r="I29" s="1675">
        <v>10</v>
      </c>
      <c r="J29" s="2022" t="s">
        <v>680</v>
      </c>
      <c r="K29" s="2018" t="s">
        <v>568</v>
      </c>
      <c r="L29" s="727"/>
      <c r="M29" s="557"/>
      <c r="N29" s="543"/>
      <c r="O29" s="1525"/>
      <c r="P29" s="543"/>
      <c r="AK29" s="1631">
        <v>34</v>
      </c>
    </row>
    <row customHeight="1" ht="24">
      <c r="A30" s="2054"/>
      <c r="B30" s="2053" t="s">
        <v>681</v>
      </c>
      <c r="C30" s="2053" t="s">
        <v>682</v>
      </c>
      <c r="D30" s="2052" t="s">
        <v>625</v>
      </c>
      <c r="E30" s="2056" t="s">
        <v>636</v>
      </c>
      <c r="F30" s="2056" t="s">
        <v>636</v>
      </c>
      <c r="H30" s="2021"/>
      <c r="I30" s="1675">
        <v>11</v>
      </c>
      <c r="J30" s="2022" t="s">
        <v>682</v>
      </c>
      <c r="K30" s="2018" t="s">
        <v>598</v>
      </c>
      <c r="L30" s="2069"/>
      <c r="M30" s="1621"/>
      <c r="N30" s="543"/>
      <c r="O30" s="1525"/>
      <c r="P30" s="543"/>
      <c r="AK30" s="1631">
        <v>23</v>
      </c>
    </row>
    <row customHeight="1" ht="24">
      <c r="A31" s="2054"/>
      <c r="B31" s="2053" t="s">
        <v>683</v>
      </c>
      <c r="C31" s="2053" t="s">
        <v>684</v>
      </c>
      <c r="D31" s="2052" t="s">
        <v>625</v>
      </c>
      <c r="E31" s="2056" t="s">
        <v>636</v>
      </c>
      <c r="F31" s="2056" t="s">
        <v>636</v>
      </c>
      <c r="H31" s="2021"/>
      <c r="I31" s="1675">
        <v>12</v>
      </c>
      <c r="J31" s="2022" t="s">
        <v>684</v>
      </c>
      <c r="K31" s="2018" t="s">
        <v>598</v>
      </c>
      <c r="L31" s="2069"/>
      <c r="M31" s="1621"/>
      <c r="N31" s="543"/>
      <c r="O31" s="1525"/>
      <c r="P31" s="543"/>
      <c r="AK31" s="1631">
        <v>23</v>
      </c>
    </row>
    <row customHeight="1" ht="48.29999999999999">
      <c r="A32" s="2054"/>
      <c r="B32" s="2053" t="s">
        <v>685</v>
      </c>
      <c r="C32" s="2053" t="s">
        <v>686</v>
      </c>
      <c r="D32" s="2052" t="s">
        <v>625</v>
      </c>
      <c r="E32" s="2056" t="s">
        <v>636</v>
      </c>
      <c r="F32" s="2056" t="s">
        <v>636</v>
      </c>
      <c r="H32" s="2021"/>
      <c r="I32" s="1675">
        <v>13</v>
      </c>
      <c r="J32" s="2022" t="s">
        <v>687</v>
      </c>
      <c r="K32" s="2018" t="s">
        <v>608</v>
      </c>
      <c r="L32" s="727"/>
      <c r="M32" s="557"/>
      <c r="N32" s="543"/>
      <c r="O32" s="1525" t="s">
        <v>647</v>
      </c>
      <c r="P32" s="543"/>
      <c r="AK32" s="1631">
        <v>46</v>
      </c>
    </row>
    <row s="1366" customFormat="1" customHeight="1" ht="48.29999999999999">
      <c r="A33" s="2054"/>
      <c r="B33" s="2053" t="s">
        <v>688</v>
      </c>
      <c r="C33" s="2053" t="s">
        <v>689</v>
      </c>
      <c r="D33" s="2052" t="s">
        <v>625</v>
      </c>
      <c r="E33" s="2056" t="s">
        <v>636</v>
      </c>
      <c r="F33" s="2056" t="s">
        <v>636</v>
      </c>
      <c r="G33" s="1636"/>
      <c r="H33" s="2021"/>
      <c r="I33" s="1675">
        <v>14</v>
      </c>
      <c r="J33" s="2034" t="s">
        <v>690</v>
      </c>
      <c r="K33" s="2023" t="s">
        <v>691</v>
      </c>
      <c r="L33" s="727"/>
      <c r="M33" s="557"/>
      <c r="N33" s="543"/>
      <c r="O33" s="1525" t="s">
        <v>647</v>
      </c>
      <c r="P33" s="543"/>
      <c r="Q33" s="1636"/>
      <c r="R33" s="1636"/>
      <c r="W33" s="1636"/>
      <c r="Z33" s="544"/>
      <c r="AF33" s="1632"/>
      <c r="AG33" s="1632"/>
      <c r="AH33" s="1632"/>
      <c r="AI33" s="1632"/>
      <c r="AJ33" s="1632"/>
      <c r="AK33" s="1366">
        <v>46</v>
      </c>
    </row>
    <row customHeight="1" ht="108">
      <c r="A34" s="2054"/>
      <c r="B34" s="2053" t="s">
        <v>692</v>
      </c>
      <c r="C34" s="2053" t="s">
        <v>693</v>
      </c>
      <c r="D34" s="2052" t="s">
        <v>635</v>
      </c>
      <c r="E34" s="2056" t="s">
        <v>636</v>
      </c>
      <c r="F34" s="2056" t="s">
        <v>636</v>
      </c>
      <c r="G34" s="1636" t="s">
        <v>596</v>
      </c>
      <c r="H34" s="2021"/>
      <c r="I34" s="2032">
        <v>15</v>
      </c>
      <c r="J34" s="2033" t="s">
        <v>694</v>
      </c>
      <c r="K34" s="2018" t="s">
        <v>314</v>
      </c>
      <c r="L34" s="385"/>
      <c r="M34" s="1164"/>
      <c r="N34" s="543"/>
      <c r="O34" s="1525" t="s">
        <v>639</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86</v>
      </c>
      <c r="B204" s="987" t="s">
        <v>153</v>
      </c>
      <c r="C204" s="987" t="s">
        <v>153</v>
      </c>
      <c r="D204" s="987" t="s">
        <v>153</v>
      </c>
      <c r="E204" s="987" t="s">
        <v>153</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D79435-EAC8-0438-4B15-4C19849E466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695</v>
      </c>
      <c r="C2" s="2053" t="s">
        <v>696</v>
      </c>
      <c r="D2" s="2052" t="s">
        <v>635</v>
      </c>
      <c r="E2" s="2058">
        <f>I2-3</f>
        <v>-3</v>
      </c>
      <c r="F2" s="2058">
        <f>J2</f>
        <v>0</v>
      </c>
      <c r="H2" s="1730" t="s">
        <v>453</v>
      </c>
      <c r="I2" s="2024"/>
      <c r="J2" s="1682"/>
      <c r="K2" s="2018" t="s">
        <v>314</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697</v>
      </c>
      <c r="J5" s="2248"/>
      <c r="K5" s="2248"/>
      <c r="L5" s="2248"/>
      <c r="M5" s="266"/>
      <c r="W5" s="1631">
        <v>48</v>
      </c>
    </row>
    <row customHeight="1" ht="18">
      <c r="H6" s="376"/>
      <c r="I6" s="2249" t="str">
        <f>IF(org=0,"Не определено",org)</f>
        <v>ООО "Энерго-Сервис"</v>
      </c>
      <c r="J6" s="2249"/>
      <c r="K6" s="2249"/>
      <c r="L6" s="2249"/>
      <c r="M6" s="266"/>
      <c r="W6" s="1631">
        <v>17</v>
      </c>
    </row>
    <row customHeight="1" ht="14.699999999999998">
      <c r="H7" s="376"/>
      <c r="I7" s="457"/>
      <c r="J7" s="463"/>
      <c r="K7" s="463"/>
      <c r="L7" s="752"/>
      <c r="M7" s="193"/>
      <c r="W7" s="1631">
        <v>14</v>
      </c>
    </row>
    <row customHeight="1" ht="14.699999999999998">
      <c r="H8" s="376"/>
      <c r="I8" s="2386" t="s">
        <v>308</v>
      </c>
      <c r="J8" s="2387"/>
      <c r="K8" s="2387"/>
      <c r="L8" s="2388"/>
      <c r="M8" s="2389" t="s">
        <v>309</v>
      </c>
      <c r="W8" s="1631">
        <v>14</v>
      </c>
    </row>
    <row customHeight="1" ht="35.699999999999996">
      <c r="E9" s="2051" t="s">
        <v>626</v>
      </c>
      <c r="F9" s="2051" t="s">
        <v>632</v>
      </c>
      <c r="H9" s="376"/>
      <c r="I9" s="2025" t="s">
        <v>92</v>
      </c>
      <c r="J9" s="2026" t="s">
        <v>310</v>
      </c>
      <c r="K9" s="2064" t="s">
        <v>574</v>
      </c>
      <c r="L9" s="2065" t="s">
        <v>311</v>
      </c>
      <c r="M9" s="2389"/>
      <c r="W9" s="1631">
        <v>34</v>
      </c>
    </row>
    <row customHeight="1" ht="35.699999999999996">
      <c r="B10" s="2053" t="s">
        <v>698</v>
      </c>
      <c r="C10" s="2053" t="s">
        <v>699</v>
      </c>
      <c r="D10" s="2052" t="s">
        <v>635</v>
      </c>
      <c r="E10" s="2056" t="s">
        <v>636</v>
      </c>
      <c r="F10" s="2056" t="s">
        <v>636</v>
      </c>
      <c r="H10" s="376"/>
      <c r="I10" s="2024" t="s">
        <v>113</v>
      </c>
      <c r="J10" s="1886" t="s">
        <v>700</v>
      </c>
      <c r="K10" s="2018" t="s">
        <v>314</v>
      </c>
      <c r="L10" s="818"/>
      <c r="M10" s="297" t="s">
        <v>701</v>
      </c>
      <c r="W10" s="1631">
        <v>34</v>
      </c>
    </row>
    <row customHeight="1" ht="50.25">
      <c r="B11" s="2053" t="s">
        <v>702</v>
      </c>
      <c r="C11" s="2053" t="s">
        <v>703</v>
      </c>
      <c r="D11" s="2052" t="s">
        <v>635</v>
      </c>
      <c r="E11" s="2056" t="s">
        <v>636</v>
      </c>
      <c r="F11" s="2056" t="s">
        <v>636</v>
      </c>
      <c r="H11" s="376"/>
      <c r="I11" s="2024" t="s">
        <v>114</v>
      </c>
      <c r="J11" s="1886" t="s">
        <v>704</v>
      </c>
      <c r="K11" s="2018" t="s">
        <v>314</v>
      </c>
      <c r="L11" s="818"/>
      <c r="M11" s="297" t="s">
        <v>701</v>
      </c>
      <c r="W11" s="1631">
        <v>48</v>
      </c>
    </row>
    <row customHeight="1" ht="48.29999999999999">
      <c r="B12" s="2053" t="s">
        <v>705</v>
      </c>
      <c r="C12" s="2053" t="s">
        <v>706</v>
      </c>
      <c r="D12" s="2052" t="s">
        <v>635</v>
      </c>
      <c r="E12" s="2056" t="s">
        <v>636</v>
      </c>
      <c r="F12" s="2056" t="s">
        <v>636</v>
      </c>
      <c r="H12" s="1688"/>
      <c r="I12" s="2024" t="s">
        <v>94</v>
      </c>
      <c r="J12" s="2031" t="s">
        <v>707</v>
      </c>
      <c r="K12" s="2018" t="s">
        <v>314</v>
      </c>
      <c r="L12" s="818"/>
      <c r="M12" s="297" t="s">
        <v>708</v>
      </c>
      <c r="N12" s="1624"/>
      <c r="P12" s="1631"/>
      <c r="W12" s="1631">
        <v>46</v>
      </c>
    </row>
    <row customHeight="1" ht="14.699999999999998">
      <c r="E13" s="343"/>
      <c r="H13" s="376"/>
      <c r="I13" s="347"/>
      <c r="J13" s="651" t="s">
        <v>709</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86</v>
      </c>
      <c r="B16" s="1631">
        <v>9</v>
      </c>
      <c r="C16" s="1631">
        <v>9</v>
      </c>
      <c r="D16" s="1631">
        <v>9</v>
      </c>
      <c r="E16" s="2030" t="s">
        <v>152</v>
      </c>
      <c r="F16" s="2055" t="s">
        <v>152</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FB1478-8BCB-0B98-4A68-2FE111019A07}"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560</v>
      </c>
      <c r="H2" s="541"/>
      <c r="I2" s="541"/>
      <c r="J2" s="542" t="s">
        <v>710</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711</v>
      </c>
      <c r="F6" s="2307"/>
      <c r="G6" s="2307"/>
      <c r="H6" s="2307"/>
      <c r="I6" s="2307"/>
      <c r="J6" s="556"/>
      <c r="AF6" s="1631">
        <v>30</v>
      </c>
    </row>
    <row customHeight="1" ht="11.549999999999999">
      <c r="E7" s="2249" t="str">
        <f>IF(org=0,"Не определено",org)</f>
        <v>ООО "Энерго-Сервис"</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121</v>
      </c>
      <c r="AF9" s="1636">
        <v>4</v>
      </c>
    </row>
    <row customHeight="1" ht="11.549999999999999">
      <c r="E10" s="711"/>
      <c r="F10" s="2367" t="s">
        <v>109</v>
      </c>
      <c r="G10" s="2368"/>
      <c r="H10" s="1552" t="str">
        <f>IF(H9="","",INDEX(DIFFERENTIATION_UNMERGE_VD,MATCH(H9,DIFFERENTIATION_ID_DIFF,0)))</f>
        <v/>
      </c>
      <c r="I10" s="1552">
        <f>IF(I9="","",INDEX(DIFFERENTIATION_UNMERGE_VD,MATCH(I9,DIFFERENTIATION_ID_DIFF,0)))</f>
        <v>0</v>
      </c>
      <c r="J10" s="2127"/>
      <c r="AF10" s="1631">
        <v>11</v>
      </c>
    </row>
    <row customHeight="1" ht="11.549999999999999">
      <c r="E11" s="711"/>
      <c r="F11" s="2367" t="s">
        <v>572</v>
      </c>
      <c r="G11" s="2368"/>
      <c r="H11" s="1552" t="str">
        <f>IF(H9="","",INDEX(DIFFERENTIATION_UNMERGE_AREA,MATCH(H9,DIFFERENTIATION_ID_DIFF,0)))</f>
        <v/>
      </c>
      <c r="I11" s="1552" t="str">
        <f>IF(I9="","",INDEX(DIFFERENTIATION_UNMERGE_AREA,MATCH(I9,DIFFERENTIATION_ID_DIFF,0)))</f>
        <v/>
      </c>
      <c r="J11" s="2127"/>
      <c r="AF11" s="1631">
        <v>11</v>
      </c>
    </row>
    <row customHeight="1" ht="1.05">
      <c r="E12" s="1662"/>
      <c r="F12" s="2390" t="s">
        <v>573</v>
      </c>
      <c r="G12" s="2391"/>
      <c r="H12" s="1663" t="str">
        <f>IF(H9="","",INDEX(DIFFERENTIATION_UNMERGE_SYSTEM,MATCH(H9,DIFFERENTIATION_ID_DIFF,0)))</f>
        <v/>
      </c>
      <c r="I12" s="1663" t="str">
        <f>IF(I9="","",INDEX(DIFFERENTIATION_UNMERGE_SYSTEM,MATCH(I9,DIFFERENTIATION_ID_DIFF,0)))</f>
        <v>без дифференциации</v>
      </c>
      <c r="J12" s="2127"/>
      <c r="AF12" s="1631">
        <v>1</v>
      </c>
    </row>
    <row customHeight="1" ht="11.549999999999999">
      <c r="E13" s="2369" t="s">
        <v>308</v>
      </c>
      <c r="F13" s="2370"/>
      <c r="G13" s="2370"/>
      <c r="H13" s="1551"/>
      <c r="I13" s="1551"/>
      <c r="J13" s="2127"/>
      <c r="AF13" s="1631">
        <v>11</v>
      </c>
    </row>
    <row customHeight="1" ht="24">
      <c r="E14" s="1639" t="s">
        <v>92</v>
      </c>
      <c r="F14" s="1634" t="s">
        <v>310</v>
      </c>
      <c r="G14" s="1634" t="s">
        <v>574</v>
      </c>
      <c r="H14" s="1634" t="s">
        <v>311</v>
      </c>
      <c r="I14" s="1634" t="s">
        <v>311</v>
      </c>
      <c r="J14" s="2127"/>
      <c r="AF14" s="1631">
        <v>23</v>
      </c>
    </row>
    <row customHeight="1" ht="19.95">
      <c r="D15" s="1638"/>
      <c r="E15" s="1630" t="s">
        <v>113</v>
      </c>
      <c r="F15" s="707" t="s">
        <v>712</v>
      </c>
      <c r="G15" s="1646" t="s">
        <v>560</v>
      </c>
      <c r="H15" s="557"/>
      <c r="I15" s="557"/>
      <c r="J15" s="289" t="s">
        <v>713</v>
      </c>
      <c r="K15" s="543" t="s">
        <v>638</v>
      </c>
      <c r="AF15" s="1631">
        <v>19</v>
      </c>
    </row>
    <row customHeight="1" ht="35.699999999999996">
      <c r="D16" s="1638"/>
      <c r="E16" s="1630" t="s">
        <v>114</v>
      </c>
      <c r="F16" s="707" t="s">
        <v>714</v>
      </c>
      <c r="G16" s="1646" t="s">
        <v>560</v>
      </c>
      <c r="H16" s="558">
        <f>SUM(H17,H20:H32)</f>
        <v>0</v>
      </c>
      <c r="I16" s="558">
        <f>SUM(I17,I20,I23,I26,I29:I32)</f>
        <v>0</v>
      </c>
      <c r="J16" s="289" t="s">
        <v>715</v>
      </c>
      <c r="K16" s="543" t="s">
        <v>638</v>
      </c>
      <c r="AF16" s="1631">
        <v>34</v>
      </c>
    </row>
    <row customHeight="1" ht="19.95">
      <c r="D17" s="1638"/>
      <c r="E17" s="1664" t="s">
        <v>716</v>
      </c>
      <c r="F17" s="954" t="s">
        <v>717</v>
      </c>
      <c r="G17" s="1643" t="s">
        <v>560</v>
      </c>
      <c r="H17" s="557"/>
      <c r="I17" s="557"/>
      <c r="J17" s="289" t="s">
        <v>718</v>
      </c>
      <c r="K17" s="543"/>
      <c r="AF17" s="1631">
        <v>19</v>
      </c>
    </row>
    <row customHeight="1" ht="24">
      <c r="D18" s="1638"/>
      <c r="E18" s="1664" t="s">
        <v>719</v>
      </c>
      <c r="F18" s="1650" t="s">
        <v>720</v>
      </c>
      <c r="G18" s="1643" t="s">
        <v>560</v>
      </c>
      <c r="H18" s="557"/>
      <c r="I18" s="557"/>
      <c r="J18" s="289" t="s">
        <v>721</v>
      </c>
      <c r="K18" s="543"/>
      <c r="AF18" s="1631">
        <v>23</v>
      </c>
    </row>
    <row customHeight="1" ht="35.699999999999996">
      <c r="D19" s="1638"/>
      <c r="E19" s="1664" t="s">
        <v>722</v>
      </c>
      <c r="F19" s="1650" t="s">
        <v>723</v>
      </c>
      <c r="G19" s="1643" t="s">
        <v>560</v>
      </c>
      <c r="H19" s="557"/>
      <c r="I19" s="557"/>
      <c r="J19" s="289"/>
      <c r="K19" s="543"/>
      <c r="AF19" s="1631">
        <v>34</v>
      </c>
    </row>
    <row customHeight="1" ht="19.95">
      <c r="D20" s="1638"/>
      <c r="E20" s="1664" t="s">
        <v>315</v>
      </c>
      <c r="F20" s="954" t="s">
        <v>724</v>
      </c>
      <c r="G20" s="1643" t="s">
        <v>560</v>
      </c>
      <c r="H20" s="557"/>
      <c r="I20" s="557"/>
      <c r="J20" s="289" t="s">
        <v>725</v>
      </c>
      <c r="K20" s="543"/>
      <c r="AF20" s="1631">
        <v>19</v>
      </c>
    </row>
    <row customHeight="1" ht="19.95">
      <c r="D21" s="1638"/>
      <c r="E21" s="1664" t="s">
        <v>726</v>
      </c>
      <c r="F21" s="1650" t="s">
        <v>727</v>
      </c>
      <c r="G21" s="1643" t="s">
        <v>560</v>
      </c>
      <c r="H21" s="557"/>
      <c r="I21" s="557"/>
      <c r="J21" s="289"/>
      <c r="K21" s="543"/>
      <c r="AF21" s="1631">
        <v>19</v>
      </c>
    </row>
    <row customHeight="1" ht="19.95">
      <c r="D22" s="1638"/>
      <c r="E22" s="1664" t="s">
        <v>728</v>
      </c>
      <c r="F22" s="1650" t="s">
        <v>729</v>
      </c>
      <c r="G22" s="1643" t="s">
        <v>560</v>
      </c>
      <c r="H22" s="557"/>
      <c r="I22" s="557"/>
      <c r="J22" s="289"/>
      <c r="K22" s="543"/>
      <c r="AF22" s="1631">
        <v>19</v>
      </c>
    </row>
    <row customHeight="1" ht="24">
      <c r="D23" s="1638"/>
      <c r="E23" s="1664" t="s">
        <v>318</v>
      </c>
      <c r="F23" s="954" t="s">
        <v>730</v>
      </c>
      <c r="G23" s="1643" t="s">
        <v>560</v>
      </c>
      <c r="H23" s="557"/>
      <c r="I23" s="557"/>
      <c r="J23" s="289" t="s">
        <v>731</v>
      </c>
      <c r="K23" s="543"/>
      <c r="AF23" s="1631">
        <v>23</v>
      </c>
    </row>
    <row customHeight="1" ht="19.95">
      <c r="D24" s="1638"/>
      <c r="E24" s="1664" t="s">
        <v>732</v>
      </c>
      <c r="F24" s="1650" t="s">
        <v>733</v>
      </c>
      <c r="G24" s="1643" t="s">
        <v>560</v>
      </c>
      <c r="H24" s="557"/>
      <c r="I24" s="557"/>
      <c r="J24" s="289"/>
      <c r="K24" s="543"/>
      <c r="AF24" s="1631">
        <v>19</v>
      </c>
    </row>
    <row customHeight="1" ht="35.699999999999996">
      <c r="D25" s="1638"/>
      <c r="E25" s="1664" t="s">
        <v>734</v>
      </c>
      <c r="F25" s="1650" t="s">
        <v>735</v>
      </c>
      <c r="G25" s="1643" t="s">
        <v>560</v>
      </c>
      <c r="H25" s="557"/>
      <c r="I25" s="557"/>
      <c r="J25" s="289"/>
      <c r="K25" s="543"/>
      <c r="AF25" s="1631">
        <v>34</v>
      </c>
    </row>
    <row customHeight="1" ht="24">
      <c r="D26" s="1638"/>
      <c r="E26" s="1664" t="s">
        <v>736</v>
      </c>
      <c r="F26" s="954" t="s">
        <v>737</v>
      </c>
      <c r="G26" s="1643" t="s">
        <v>560</v>
      </c>
      <c r="H26" s="557"/>
      <c r="I26" s="557"/>
      <c r="J26" s="289" t="s">
        <v>738</v>
      </c>
      <c r="K26" s="543"/>
      <c r="AF26" s="1631">
        <v>23</v>
      </c>
    </row>
    <row customHeight="1" ht="19.95">
      <c r="D27" s="1638"/>
      <c r="E27" s="1675" t="s">
        <v>739</v>
      </c>
      <c r="F27" s="1650" t="s">
        <v>740</v>
      </c>
      <c r="G27" s="1654" t="s">
        <v>560</v>
      </c>
      <c r="H27" s="1676"/>
      <c r="I27" s="1676"/>
      <c r="J27" s="289"/>
      <c r="K27" s="543"/>
      <c r="AF27" s="1631">
        <v>19</v>
      </c>
    </row>
    <row customHeight="1" ht="19.95">
      <c r="D28" s="1638"/>
      <c r="E28" s="1675" t="s">
        <v>741</v>
      </c>
      <c r="F28" s="1650" t="s">
        <v>742</v>
      </c>
      <c r="G28" s="1654" t="s">
        <v>560</v>
      </c>
      <c r="H28" s="1676"/>
      <c r="I28" s="1676"/>
      <c r="J28" s="289"/>
      <c r="K28" s="543"/>
      <c r="AF28" s="1631">
        <v>19</v>
      </c>
    </row>
    <row customHeight="1" ht="19.95">
      <c r="D29" s="1638"/>
      <c r="E29" s="1675" t="s">
        <v>743</v>
      </c>
      <c r="F29" s="954" t="s">
        <v>744</v>
      </c>
      <c r="G29" s="1654" t="s">
        <v>560</v>
      </c>
      <c r="H29" s="1676"/>
      <c r="I29" s="1676"/>
      <c r="J29" s="289"/>
      <c r="K29" s="543"/>
      <c r="AF29" s="1631">
        <v>19</v>
      </c>
    </row>
    <row customHeight="1" ht="19.95">
      <c r="D30" s="1638"/>
      <c r="E30" s="1675" t="s">
        <v>745</v>
      </c>
      <c r="F30" s="954" t="s">
        <v>746</v>
      </c>
      <c r="G30" s="1654" t="s">
        <v>560</v>
      </c>
      <c r="H30" s="1676"/>
      <c r="I30" s="1676"/>
      <c r="J30" s="289"/>
      <c r="K30" s="543"/>
      <c r="AF30" s="1631">
        <v>19</v>
      </c>
    </row>
    <row customHeight="1" ht="19.95">
      <c r="D31" s="1638"/>
      <c r="E31" s="1675" t="s">
        <v>747</v>
      </c>
      <c r="F31" s="954" t="s">
        <v>748</v>
      </c>
      <c r="G31" s="1654" t="s">
        <v>560</v>
      </c>
      <c r="H31" s="1676"/>
      <c r="I31" s="1676"/>
      <c r="J31" s="289"/>
      <c r="K31" s="543"/>
      <c r="AF31" s="1631">
        <v>19</v>
      </c>
    </row>
    <row s="1366" customFormat="1" customHeight="1" ht="35.699999999999996">
      <c r="A32" s="987"/>
      <c r="C32" s="1636"/>
      <c r="D32" s="1638"/>
      <c r="E32" s="1675" t="s">
        <v>749</v>
      </c>
      <c r="F32" s="954" t="s">
        <v>750</v>
      </c>
      <c r="G32" s="1644" t="s">
        <v>560</v>
      </c>
      <c r="H32" s="579">
        <f>SUM(H33:H34)</f>
        <v>0</v>
      </c>
      <c r="I32" s="579">
        <f>SUM(I33:I34)</f>
        <v>0</v>
      </c>
      <c r="J32" s="289" t="s">
        <v>751</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585</v>
      </c>
      <c r="G34" s="572"/>
      <c r="H34" s="573"/>
      <c r="I34" s="573"/>
      <c r="J34" s="301" t="s">
        <v>752</v>
      </c>
      <c r="K34" s="543"/>
      <c r="L34" s="1636"/>
      <c r="M34" s="1636"/>
      <c r="R34" s="1636"/>
      <c r="U34" s="544"/>
      <c r="AA34" s="1632"/>
      <c r="AB34" s="1632"/>
      <c r="AC34" s="1632"/>
      <c r="AD34" s="1632"/>
      <c r="AE34" s="1632"/>
      <c r="AF34" s="1160">
        <v>19</v>
      </c>
    </row>
    <row customHeight="1" ht="60">
      <c r="D35" s="1638"/>
      <c r="E35" s="1675" t="s">
        <v>753</v>
      </c>
      <c r="F35" s="954" t="s">
        <v>754</v>
      </c>
      <c r="G35" s="1654" t="s">
        <v>560</v>
      </c>
      <c r="H35" s="1676"/>
      <c r="I35" s="1676"/>
      <c r="J35" s="289" t="s">
        <v>755</v>
      </c>
      <c r="K35" s="543"/>
      <c r="AF35" s="1631">
        <v>57</v>
      </c>
    </row>
    <row s="1366" customFormat="1" customHeight="1" ht="24">
      <c r="A36" s="989" t="s">
        <v>586</v>
      </c>
      <c r="C36" s="1636"/>
      <c r="D36" s="1638"/>
      <c r="E36" s="1664" t="s">
        <v>94</v>
      </c>
      <c r="F36" s="707" t="s">
        <v>756</v>
      </c>
      <c r="G36" s="1643" t="s">
        <v>560</v>
      </c>
      <c r="H36" s="557"/>
      <c r="I36" s="557"/>
      <c r="J36" s="289" t="s">
        <v>757</v>
      </c>
      <c r="K36" s="543"/>
      <c r="L36" s="1636"/>
      <c r="M36" s="1636"/>
      <c r="R36" s="1636"/>
      <c r="U36" s="544"/>
      <c r="AA36" s="1632"/>
      <c r="AB36" s="1632"/>
      <c r="AC36" s="1632"/>
      <c r="AD36" s="1632"/>
      <c r="AE36" s="1632"/>
      <c r="AF36" s="1160">
        <v>23</v>
      </c>
    </row>
    <row s="1366" customFormat="1" customHeight="1" ht="35.699999999999996">
      <c r="A37" s="989"/>
      <c r="C37" s="1636"/>
      <c r="D37" s="1638"/>
      <c r="E37" s="1664" t="s">
        <v>332</v>
      </c>
      <c r="F37" s="954" t="s">
        <v>758</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95</v>
      </c>
      <c r="F38" s="707" t="s">
        <v>759</v>
      </c>
      <c r="G38" s="1643" t="s">
        <v>560</v>
      </c>
      <c r="H38" s="557"/>
      <c r="I38" s="557"/>
      <c r="J38" s="289" t="s">
        <v>760</v>
      </c>
      <c r="K38" s="543"/>
      <c r="L38" s="1636"/>
      <c r="M38" s="1636"/>
      <c r="R38" s="1636"/>
      <c r="U38" s="544"/>
      <c r="AA38" s="1632"/>
      <c r="AB38" s="1632"/>
      <c r="AC38" s="1632"/>
      <c r="AD38" s="1632"/>
      <c r="AE38" s="1632"/>
      <c r="AF38" s="1160">
        <v>19</v>
      </c>
    </row>
    <row s="1366" customFormat="1" customHeight="1" ht="24">
      <c r="A39" s="987"/>
      <c r="C39" s="1636"/>
      <c r="D39" s="575"/>
      <c r="E39" s="1664" t="s">
        <v>761</v>
      </c>
      <c r="F39" s="954" t="s">
        <v>762</v>
      </c>
      <c r="G39" s="1654" t="s">
        <v>560</v>
      </c>
      <c r="H39" s="557"/>
      <c r="I39" s="557"/>
      <c r="J39" s="289" t="s">
        <v>763</v>
      </c>
      <c r="K39" s="543"/>
      <c r="L39" s="1636"/>
      <c r="M39" s="1636"/>
      <c r="R39" s="1636"/>
      <c r="U39" s="544"/>
      <c r="AA39" s="1632"/>
      <c r="AB39" s="1632"/>
      <c r="AC39" s="1632"/>
      <c r="AD39" s="1632"/>
      <c r="AE39" s="1632"/>
      <c r="AF39" s="1160">
        <v>23</v>
      </c>
    </row>
    <row s="1366" customFormat="1" customHeight="1" ht="24">
      <c r="A40" s="987"/>
      <c r="C40" s="1636"/>
      <c r="D40" s="1638"/>
      <c r="E40" s="1664" t="s">
        <v>764</v>
      </c>
      <c r="F40" s="1650" t="s">
        <v>765</v>
      </c>
      <c r="G40" s="1643" t="s">
        <v>560</v>
      </c>
      <c r="H40" s="557"/>
      <c r="I40" s="557"/>
      <c r="J40" s="289" t="s">
        <v>766</v>
      </c>
      <c r="K40" s="543"/>
      <c r="L40" s="1636"/>
      <c r="M40" s="1636"/>
      <c r="R40" s="1636"/>
      <c r="U40" s="544"/>
      <c r="AA40" s="1632"/>
      <c r="AB40" s="1632"/>
      <c r="AC40" s="1632"/>
      <c r="AD40" s="1632"/>
      <c r="AE40" s="1632"/>
      <c r="AF40" s="1160">
        <v>23</v>
      </c>
    </row>
    <row s="1366" customFormat="1" customHeight="1" ht="24">
      <c r="A41" s="987"/>
      <c r="C41" s="1636"/>
      <c r="D41" s="1638"/>
      <c r="E41" s="1664" t="s">
        <v>767</v>
      </c>
      <c r="F41" s="1650" t="s">
        <v>768</v>
      </c>
      <c r="G41" s="1643" t="s">
        <v>560</v>
      </c>
      <c r="H41" s="557"/>
      <c r="I41" s="557"/>
      <c r="J41" s="289" t="s">
        <v>769</v>
      </c>
      <c r="K41" s="543"/>
      <c r="L41" s="1636"/>
      <c r="M41" s="1636"/>
      <c r="R41" s="1636"/>
      <c r="U41" s="544"/>
      <c r="AA41" s="1632"/>
      <c r="AB41" s="1632"/>
      <c r="AC41" s="1632"/>
      <c r="AD41" s="1632"/>
      <c r="AE41" s="1632"/>
      <c r="AF41" s="1160">
        <v>23</v>
      </c>
    </row>
    <row s="1366" customFormat="1" customHeight="1" ht="24">
      <c r="A42" s="987"/>
      <c r="C42" s="1636"/>
      <c r="D42" s="1638"/>
      <c r="E42" s="1664" t="s">
        <v>770</v>
      </c>
      <c r="F42" s="1650" t="s">
        <v>771</v>
      </c>
      <c r="G42" s="1643" t="s">
        <v>560</v>
      </c>
      <c r="H42" s="557"/>
      <c r="I42" s="557"/>
      <c r="J42" s="289" t="s">
        <v>772</v>
      </c>
      <c r="K42" s="543"/>
      <c r="L42" s="1636"/>
      <c r="M42" s="1636"/>
      <c r="R42" s="1636"/>
      <c r="U42" s="544"/>
      <c r="AA42" s="1632"/>
      <c r="AB42" s="1632"/>
      <c r="AC42" s="1632"/>
      <c r="AD42" s="1632"/>
      <c r="AE42" s="1632"/>
      <c r="AF42" s="1160">
        <v>23</v>
      </c>
    </row>
    <row s="1366" customFormat="1" customHeight="1" ht="35.699999999999996">
      <c r="A43" s="987"/>
      <c r="C43" s="1636" t="s">
        <v>596</v>
      </c>
      <c r="D43" s="1638"/>
      <c r="E43" s="1664" t="s">
        <v>115</v>
      </c>
      <c r="F43" s="707" t="s">
        <v>637</v>
      </c>
      <c r="G43" s="1646" t="s">
        <v>773</v>
      </c>
      <c r="H43" s="401"/>
      <c r="I43" s="401"/>
      <c r="J43" s="289" t="s">
        <v>774</v>
      </c>
      <c r="K43" s="543"/>
      <c r="L43" s="1636"/>
      <c r="M43" s="1636"/>
      <c r="R43" s="1636"/>
      <c r="U43" s="544"/>
      <c r="AA43" s="1632"/>
      <c r="AB43" s="1632"/>
      <c r="AC43" s="1632"/>
      <c r="AD43" s="1632"/>
      <c r="AE43" s="1632"/>
      <c r="AF43" s="1160">
        <v>34</v>
      </c>
    </row>
    <row s="1366" customFormat="1" customHeight="1" ht="35.699999999999996">
      <c r="A44" s="987"/>
      <c r="C44" s="1636"/>
      <c r="D44" s="1638"/>
      <c r="E44" s="1664" t="s">
        <v>96</v>
      </c>
      <c r="F44" s="707" t="s">
        <v>775</v>
      </c>
      <c r="G44" s="1643" t="s">
        <v>776</v>
      </c>
      <c r="H44" s="545"/>
      <c r="I44" s="545"/>
      <c r="J44" s="289" t="s">
        <v>777</v>
      </c>
      <c r="K44" s="543"/>
      <c r="L44" s="1636"/>
      <c r="M44" s="1636"/>
      <c r="R44" s="1636"/>
      <c r="U44" s="544"/>
      <c r="AA44" s="1632"/>
      <c r="AB44" s="1632"/>
      <c r="AC44" s="1632"/>
      <c r="AD44" s="1632"/>
      <c r="AE44" s="1632"/>
      <c r="AF44" s="1160">
        <v>34</v>
      </c>
    </row>
    <row s="1366" customFormat="1" customHeight="1" ht="24">
      <c r="A45" s="987"/>
      <c r="C45" s="1636"/>
      <c r="D45" s="1638"/>
      <c r="E45" s="1664" t="s">
        <v>97</v>
      </c>
      <c r="F45" s="707" t="s">
        <v>778</v>
      </c>
      <c r="G45" s="1654" t="s">
        <v>779</v>
      </c>
      <c r="H45" s="545"/>
      <c r="I45" s="545"/>
      <c r="J45" s="289" t="s">
        <v>780</v>
      </c>
      <c r="K45" s="543"/>
      <c r="L45" s="1636"/>
      <c r="M45" s="1636"/>
      <c r="R45" s="1636"/>
      <c r="U45" s="544"/>
      <c r="AA45" s="1632"/>
      <c r="AB45" s="1632"/>
      <c r="AC45" s="1632"/>
      <c r="AD45" s="1632"/>
      <c r="AE45" s="1632"/>
      <c r="AF45" s="1160">
        <v>23</v>
      </c>
    </row>
    <row s="1366" customFormat="1" customHeight="1" ht="19.95">
      <c r="A46" s="987"/>
      <c r="C46" s="1636"/>
      <c r="D46" s="1638"/>
      <c r="E46" s="1664" t="s">
        <v>116</v>
      </c>
      <c r="F46" s="707" t="s">
        <v>781</v>
      </c>
      <c r="G46" s="1643" t="s">
        <v>598</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86</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6E7BDC-BE58-7A08-C9F8-1D137F6AD76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560</v>
      </c>
      <c r="H2" s="541"/>
      <c r="I2" s="541"/>
      <c r="J2" s="542" t="s">
        <v>563</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782</v>
      </c>
      <c r="F6" s="2248"/>
      <c r="G6" s="2248"/>
      <c r="H6" s="2248"/>
      <c r="I6" s="2248"/>
      <c r="J6" s="556"/>
      <c r="AF6" s="1631">
        <v>32</v>
      </c>
    </row>
    <row customHeight="1" ht="25.2">
      <c r="E7" s="2249" t="str">
        <f>IF(org=0,"Не определено",org)</f>
        <v>ООО "Энерго-Сервис"</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121</v>
      </c>
      <c r="AF9" s="1636">
        <v>1</v>
      </c>
    </row>
    <row customHeight="1" ht="11.549999999999999">
      <c r="E10" s="711"/>
      <c r="F10" s="2367" t="s">
        <v>109</v>
      </c>
      <c r="G10" s="2368"/>
      <c r="H10" s="1659" t="str">
        <f>IF(H9="","",INDEX(DIFFERENTIATION_UNMERGE_VD,MATCH(H9,DIFFERENTIATION_ID_DIFF,0)))</f>
        <v/>
      </c>
      <c r="I10" s="1659">
        <f>IF(I9="","",INDEX(DIFFERENTIATION_UNMERGE_VD,MATCH(I9,DIFFERENTIATION_ID_DIFF,0)))</f>
        <v>0</v>
      </c>
      <c r="J10" s="2127"/>
      <c r="AF10" s="1631">
        <v>11</v>
      </c>
    </row>
    <row customHeight="1" ht="11.549999999999999">
      <c r="E11" s="711"/>
      <c r="F11" s="2367" t="s">
        <v>572</v>
      </c>
      <c r="G11" s="2368"/>
      <c r="H11" s="1659" t="str">
        <f>IF(H9="","",INDEX(DIFFERENTIATION_UNMERGE_AREA,MATCH(H9,DIFFERENTIATION_ID_DIFF,0)))</f>
        <v/>
      </c>
      <c r="I11" s="1659" t="str">
        <f>IF(I9="","",INDEX(DIFFERENTIATION_UNMERGE_AREA,MATCH(I9,DIFFERENTIATION_ID_DIFF,0)))</f>
        <v/>
      </c>
      <c r="J11" s="2127"/>
      <c r="AF11" s="1631">
        <v>11</v>
      </c>
    </row>
    <row customHeight="1" ht="11.25" hidden="1">
      <c r="E12" s="1662"/>
      <c r="F12" s="2390" t="s">
        <v>573</v>
      </c>
      <c r="G12" s="2391"/>
      <c r="H12" s="1663" t="str">
        <f>IF(H9="","",INDEX(DIFFERENTIATION_UNMERGE_SYSTEM,MATCH(H9,DIFFERENTIATION_ID_DIFF,0)))</f>
        <v/>
      </c>
      <c r="I12" s="1663" t="str">
        <f>IF(I9="","",INDEX(DIFFERENTIATION_UNMERGE_SYSTEM,MATCH(I9,DIFFERENTIATION_ID_DIFF,0)))</f>
        <v>без дифференциации</v>
      </c>
      <c r="J12" s="2127"/>
      <c r="AF12" s="1631">
        <v>0</v>
      </c>
    </row>
    <row customHeight="1" ht="11.549999999999999">
      <c r="E13" s="2369" t="s">
        <v>308</v>
      </c>
      <c r="F13" s="2370"/>
      <c r="G13" s="2370"/>
      <c r="H13" s="1656"/>
      <c r="I13" s="1656"/>
      <c r="J13" s="2127"/>
      <c r="AF13" s="1631">
        <v>11</v>
      </c>
    </row>
    <row customHeight="1" ht="24">
      <c r="E14" s="1657" t="s">
        <v>92</v>
      </c>
      <c r="F14" s="1660" t="s">
        <v>310</v>
      </c>
      <c r="G14" s="1660" t="s">
        <v>574</v>
      </c>
      <c r="H14" s="1660" t="s">
        <v>311</v>
      </c>
      <c r="I14" s="1660" t="s">
        <v>311</v>
      </c>
      <c r="J14" s="2127"/>
      <c r="AF14" s="1631">
        <v>23</v>
      </c>
    </row>
    <row customHeight="1" ht="19.95">
      <c r="D15" s="1638"/>
      <c r="E15" s="1630" t="s">
        <v>113</v>
      </c>
      <c r="F15" s="707" t="s">
        <v>783</v>
      </c>
      <c r="G15" s="1657" t="s">
        <v>560</v>
      </c>
      <c r="H15" s="557"/>
      <c r="I15" s="557"/>
      <c r="J15" s="289" t="s">
        <v>784</v>
      </c>
      <c r="K15" s="543" t="s">
        <v>638</v>
      </c>
      <c r="AF15" s="1631">
        <v>19</v>
      </c>
    </row>
    <row customHeight="1" ht="24">
      <c r="D16" s="1638"/>
      <c r="E16" s="1630" t="s">
        <v>114</v>
      </c>
      <c r="F16" s="1665" t="s">
        <v>785</v>
      </c>
      <c r="G16" s="1657" t="s">
        <v>560</v>
      </c>
      <c r="H16" s="558">
        <f>SUM(H17,H20:H27)</f>
        <v>0</v>
      </c>
      <c r="I16" s="558">
        <f>SUM(I17,I20:I27)</f>
        <v>0</v>
      </c>
      <c r="J16" s="289" t="s">
        <v>786</v>
      </c>
      <c r="K16" s="543" t="s">
        <v>638</v>
      </c>
      <c r="AF16" s="1631">
        <v>23</v>
      </c>
    </row>
    <row customHeight="1" ht="35.699999999999996">
      <c r="D17" s="1638"/>
      <c r="E17" s="1664" t="s">
        <v>716</v>
      </c>
      <c r="F17" s="1667" t="s">
        <v>787</v>
      </c>
      <c r="G17" s="1654" t="s">
        <v>560</v>
      </c>
      <c r="H17" s="557"/>
      <c r="I17" s="557"/>
      <c r="J17" s="289" t="s">
        <v>788</v>
      </c>
      <c r="K17" s="543"/>
      <c r="AF17" s="1631">
        <v>34</v>
      </c>
    </row>
    <row customHeight="1" ht="19.95">
      <c r="D18" s="1638"/>
      <c r="E18" s="1664" t="s">
        <v>719</v>
      </c>
      <c r="F18" s="1668" t="s">
        <v>789</v>
      </c>
      <c r="G18" s="1654" t="s">
        <v>560</v>
      </c>
      <c r="H18" s="557"/>
      <c r="I18" s="557"/>
      <c r="J18" s="289"/>
      <c r="K18" s="543"/>
      <c r="AF18" s="1631">
        <v>19</v>
      </c>
    </row>
    <row customHeight="1" ht="24">
      <c r="D19" s="1638"/>
      <c r="E19" s="1664" t="s">
        <v>722</v>
      </c>
      <c r="F19" s="1668" t="s">
        <v>790</v>
      </c>
      <c r="G19" s="1654" t="s">
        <v>560</v>
      </c>
      <c r="H19" s="557"/>
      <c r="I19" s="557"/>
      <c r="J19" s="289"/>
      <c r="K19" s="543"/>
      <c r="AF19" s="1631">
        <v>23</v>
      </c>
    </row>
    <row customHeight="1" ht="35.699999999999996">
      <c r="D20" s="1638"/>
      <c r="E20" s="1664" t="s">
        <v>315</v>
      </c>
      <c r="F20" s="1667" t="s">
        <v>791</v>
      </c>
      <c r="G20" s="1654" t="s">
        <v>560</v>
      </c>
      <c r="H20" s="557"/>
      <c r="I20" s="557"/>
      <c r="J20" s="289"/>
      <c r="K20" s="543"/>
      <c r="AF20" s="1631">
        <v>34</v>
      </c>
    </row>
    <row customHeight="1" ht="48.29999999999999">
      <c r="D21" s="1638"/>
      <c r="E21" s="1664" t="s">
        <v>318</v>
      </c>
      <c r="F21" s="1667" t="s">
        <v>792</v>
      </c>
      <c r="G21" s="1654" t="s">
        <v>560</v>
      </c>
      <c r="H21" s="557"/>
      <c r="I21" s="557"/>
      <c r="J21" s="289"/>
      <c r="K21" s="543"/>
      <c r="AF21" s="1631">
        <v>46</v>
      </c>
    </row>
    <row customHeight="1" ht="60">
      <c r="D22" s="1638"/>
      <c r="E22" s="1664" t="s">
        <v>736</v>
      </c>
      <c r="F22" s="1667" t="s">
        <v>793</v>
      </c>
      <c r="G22" s="1654" t="s">
        <v>560</v>
      </c>
      <c r="H22" s="557"/>
      <c r="I22" s="557"/>
      <c r="J22" s="289"/>
      <c r="K22" s="543"/>
      <c r="AF22" s="1631">
        <v>57</v>
      </c>
    </row>
    <row customHeight="1" ht="35.699999999999996">
      <c r="D23" s="1638"/>
      <c r="E23" s="1664" t="s">
        <v>743</v>
      </c>
      <c r="F23" s="1667" t="s">
        <v>794</v>
      </c>
      <c r="G23" s="1654" t="s">
        <v>560</v>
      </c>
      <c r="H23" s="557"/>
      <c r="I23" s="557"/>
      <c r="J23" s="289"/>
      <c r="K23" s="543"/>
      <c r="AF23" s="1631">
        <v>34</v>
      </c>
    </row>
    <row customHeight="1" ht="35.699999999999996">
      <c r="D24" s="1638"/>
      <c r="E24" s="1664" t="s">
        <v>745</v>
      </c>
      <c r="F24" s="1667" t="s">
        <v>795</v>
      </c>
      <c r="G24" s="1654" t="s">
        <v>560</v>
      </c>
      <c r="H24" s="557"/>
      <c r="I24" s="557"/>
      <c r="J24" s="289"/>
      <c r="K24" s="543"/>
      <c r="AF24" s="1631">
        <v>34</v>
      </c>
    </row>
    <row customHeight="1" ht="24">
      <c r="D25" s="1638"/>
      <c r="E25" s="1664" t="s">
        <v>747</v>
      </c>
      <c r="F25" s="1667" t="s">
        <v>796</v>
      </c>
      <c r="G25" s="1654" t="s">
        <v>560</v>
      </c>
      <c r="H25" s="557"/>
      <c r="I25" s="557"/>
      <c r="J25" s="289"/>
      <c r="K25" s="543"/>
      <c r="AF25" s="1631">
        <v>23</v>
      </c>
    </row>
    <row customHeight="1" ht="76.5">
      <c r="D26" s="1638"/>
      <c r="E26" s="1664" t="s">
        <v>749</v>
      </c>
      <c r="F26" s="1667" t="s">
        <v>797</v>
      </c>
      <c r="G26" s="1654" t="s">
        <v>560</v>
      </c>
      <c r="H26" s="557"/>
      <c r="I26" s="557"/>
      <c r="J26" s="289"/>
      <c r="K26" s="543"/>
      <c r="AF26" s="1631">
        <v>73</v>
      </c>
    </row>
    <row s="1366" customFormat="1" customHeight="1" ht="35.699999999999996">
      <c r="A27" s="987"/>
      <c r="C27" s="1636"/>
      <c r="D27" s="1638"/>
      <c r="E27" s="1629" t="s">
        <v>753</v>
      </c>
      <c r="F27" s="1628" t="s">
        <v>798</v>
      </c>
      <c r="G27" s="1655" t="s">
        <v>560</v>
      </c>
      <c r="H27" s="579">
        <f>SUM(H28:H29)</f>
        <v>0</v>
      </c>
      <c r="I27" s="579">
        <f>SUM(I28:I29)</f>
        <v>0</v>
      </c>
      <c r="J27" s="289" t="s">
        <v>751</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585</v>
      </c>
      <c r="G29" s="572"/>
      <c r="H29" s="573"/>
      <c r="I29" s="573"/>
      <c r="J29" s="301" t="s">
        <v>752</v>
      </c>
      <c r="K29" s="543"/>
      <c r="L29" s="1636"/>
      <c r="M29" s="1636"/>
      <c r="R29" s="1636"/>
      <c r="U29" s="544"/>
      <c r="AA29" s="1632"/>
      <c r="AB29" s="1632"/>
      <c r="AC29" s="1632"/>
      <c r="AD29" s="1632"/>
      <c r="AE29" s="1632"/>
      <c r="AF29" s="1160">
        <v>19</v>
      </c>
    </row>
    <row s="1366" customFormat="1" customHeight="1" ht="24">
      <c r="A30" s="987"/>
      <c r="C30" s="1636"/>
      <c r="D30" s="1638"/>
      <c r="E30" s="1664" t="s">
        <v>94</v>
      </c>
      <c r="F30" s="1661" t="s">
        <v>799</v>
      </c>
      <c r="G30" s="1654" t="s">
        <v>560</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95</v>
      </c>
      <c r="F31" s="1661" t="s">
        <v>800</v>
      </c>
      <c r="G31" s="1654" t="s">
        <v>560</v>
      </c>
      <c r="H31" s="557"/>
      <c r="I31" s="557"/>
      <c r="J31" s="289" t="s">
        <v>801</v>
      </c>
      <c r="K31" s="543"/>
      <c r="L31" s="1636"/>
      <c r="M31" s="1636"/>
      <c r="R31" s="1636"/>
      <c r="U31" s="544"/>
      <c r="AA31" s="1632"/>
      <c r="AB31" s="1632"/>
      <c r="AC31" s="1632"/>
      <c r="AD31" s="1632"/>
      <c r="AE31" s="1632"/>
      <c r="AF31" s="1160">
        <v>34</v>
      </c>
    </row>
    <row s="1366" customFormat="1" customHeight="1" ht="24">
      <c r="A32" s="987"/>
      <c r="C32" s="1636"/>
      <c r="D32" s="1638"/>
      <c r="E32" s="1664" t="s">
        <v>761</v>
      </c>
      <c r="F32" s="690" t="s">
        <v>765</v>
      </c>
      <c r="G32" s="1654" t="s">
        <v>560</v>
      </c>
      <c r="H32" s="557"/>
      <c r="I32" s="557"/>
      <c r="J32" s="289" t="s">
        <v>802</v>
      </c>
      <c r="K32" s="543"/>
      <c r="L32" s="1636"/>
      <c r="M32" s="1636"/>
      <c r="R32" s="1636"/>
      <c r="U32" s="544"/>
      <c r="AA32" s="1632"/>
      <c r="AB32" s="1632"/>
      <c r="AC32" s="1632"/>
      <c r="AD32" s="1632"/>
      <c r="AE32" s="1632"/>
      <c r="AF32" s="1160">
        <v>23</v>
      </c>
    </row>
    <row s="1366" customFormat="1" customHeight="1" ht="24">
      <c r="A33" s="987"/>
      <c r="C33" s="1636"/>
      <c r="D33" s="1638"/>
      <c r="E33" s="1664" t="s">
        <v>803</v>
      </c>
      <c r="F33" s="690" t="s">
        <v>804</v>
      </c>
      <c r="G33" s="1654" t="s">
        <v>560</v>
      </c>
      <c r="H33" s="557"/>
      <c r="I33" s="557"/>
      <c r="J33" s="289" t="s">
        <v>805</v>
      </c>
      <c r="K33" s="543"/>
      <c r="L33" s="1636"/>
      <c r="M33" s="1636"/>
      <c r="R33" s="1636"/>
      <c r="U33" s="544"/>
      <c r="AA33" s="1632"/>
      <c r="AB33" s="1632"/>
      <c r="AC33" s="1632"/>
      <c r="AD33" s="1632"/>
      <c r="AE33" s="1632"/>
      <c r="AF33" s="1160">
        <v>23</v>
      </c>
    </row>
    <row s="1366" customFormat="1" customHeight="1" ht="24">
      <c r="A34" s="987"/>
      <c r="C34" s="1636"/>
      <c r="D34" s="1638"/>
      <c r="E34" s="1664" t="s">
        <v>806</v>
      </c>
      <c r="F34" s="690" t="s">
        <v>771</v>
      </c>
      <c r="G34" s="1654" t="s">
        <v>560</v>
      </c>
      <c r="H34" s="557"/>
      <c r="I34" s="557"/>
      <c r="J34" s="289" t="s">
        <v>807</v>
      </c>
      <c r="K34" s="543"/>
      <c r="L34" s="1636"/>
      <c r="M34" s="1636"/>
      <c r="R34" s="1636"/>
      <c r="U34" s="544"/>
      <c r="AA34" s="1632"/>
      <c r="AB34" s="1632"/>
      <c r="AC34" s="1632"/>
      <c r="AD34" s="1632"/>
      <c r="AE34" s="1632"/>
      <c r="AF34" s="1160">
        <v>23</v>
      </c>
    </row>
    <row s="1366" customFormat="1" customHeight="1" ht="35.699999999999996">
      <c r="A35" s="987"/>
      <c r="C35" s="1636" t="s">
        <v>596</v>
      </c>
      <c r="D35" s="1638"/>
      <c r="E35" s="1664" t="s">
        <v>115</v>
      </c>
      <c r="F35" s="1661" t="s">
        <v>637</v>
      </c>
      <c r="G35" s="1657" t="s">
        <v>314</v>
      </c>
      <c r="H35" s="401"/>
      <c r="I35" s="401"/>
      <c r="J35" s="289" t="s">
        <v>808</v>
      </c>
      <c r="K35" s="543"/>
      <c r="L35" s="1636"/>
      <c r="M35" s="1636"/>
      <c r="R35" s="1636"/>
      <c r="U35" s="544"/>
      <c r="AA35" s="1632"/>
      <c r="AB35" s="1632"/>
      <c r="AC35" s="1632"/>
      <c r="AD35" s="1632"/>
      <c r="AE35" s="1632"/>
      <c r="AF35" s="1160">
        <v>34</v>
      </c>
    </row>
    <row s="1366" customFormat="1" customHeight="1" ht="35.699999999999996">
      <c r="A36" s="987"/>
      <c r="C36" s="1636"/>
      <c r="D36" s="1638"/>
      <c r="E36" s="1664" t="s">
        <v>96</v>
      </c>
      <c r="F36" s="1661" t="s">
        <v>809</v>
      </c>
      <c r="G36" s="1654" t="s">
        <v>776</v>
      </c>
      <c r="H36" s="545"/>
      <c r="I36" s="545"/>
      <c r="J36" s="289" t="s">
        <v>777</v>
      </c>
      <c r="K36" s="543"/>
      <c r="L36" s="1636"/>
      <c r="M36" s="1636"/>
      <c r="R36" s="1636"/>
      <c r="U36" s="544"/>
      <c r="AA36" s="1632"/>
      <c r="AB36" s="1632"/>
      <c r="AC36" s="1632"/>
      <c r="AD36" s="1632"/>
      <c r="AE36" s="1632"/>
      <c r="AF36" s="1160">
        <v>34</v>
      </c>
    </row>
    <row s="1366" customFormat="1" customHeight="1" ht="24">
      <c r="A37" s="987"/>
      <c r="C37" s="1636"/>
      <c r="D37" s="1638"/>
      <c r="E37" s="1664" t="s">
        <v>97</v>
      </c>
      <c r="F37" s="1661" t="s">
        <v>810</v>
      </c>
      <c r="G37" s="1654" t="s">
        <v>779</v>
      </c>
      <c r="H37" s="545"/>
      <c r="I37" s="545"/>
      <c r="J37" s="289" t="s">
        <v>780</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811</v>
      </c>
      <c r="F39" s="2285" t="s">
        <v>812</v>
      </c>
      <c r="G39" s="2285"/>
      <c r="H39" s="369"/>
      <c r="I39" s="369"/>
      <c r="J39" s="369"/>
      <c r="AF39" s="1631">
        <v>26</v>
      </c>
    </row>
    <row s="1641" customFormat="1" customHeight="1" ht="39.75">
      <c r="A40" s="987"/>
      <c r="B40" s="1636"/>
      <c r="C40" s="1636"/>
      <c r="D40" s="351"/>
      <c r="F40" s="2285" t="s">
        <v>813</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86</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B6FFA8-89AF-BFBD-A3F2-86FA9853B57A}"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39"/>
      <c r="F3" s="2240"/>
      <c r="X3" s="505">
        <v>75</v>
      </c>
    </row>
    <row s="1635" customFormat="1" customHeight="1" ht="21">
      <c r="A4" s="951"/>
      <c r="B4" s="511"/>
      <c r="D4" s="2214" t="str">
        <f>IF(org=0,"Не определено",org)</f>
        <v>ООО "Энерго-Сервис"</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121</v>
      </c>
      <c r="J6" s="1022"/>
      <c r="X6" s="505">
        <v>1</v>
      </c>
    </row>
    <row customHeight="1" ht="11.549999999999999">
      <c r="D7" s="711"/>
      <c r="E7" s="2367" t="s">
        <v>109</v>
      </c>
      <c r="F7" s="2368"/>
      <c r="G7" s="2393" t="str">
        <f>IF(G6="","",INDEX(DIFFERENTIATION_UNMERGE_VD,MATCH(G6,DIFFERENTIATION_ID_DIFF,0)))</f>
        <v/>
      </c>
      <c r="H7" s="2394"/>
      <c r="I7" s="2393">
        <f>IF(I6="","",INDEX(DIFFERENTIATION_UNMERGE_VD,MATCH(I6,DIFFERENTIATION_ID_DIFF,0)))</f>
        <v>0</v>
      </c>
      <c r="J7" s="2394"/>
      <c r="K7" s="2175"/>
      <c r="L7" s="509"/>
      <c r="X7" s="505">
        <v>11</v>
      </c>
    </row>
    <row customHeight="1" ht="11.549999999999999">
      <c r="A8" s="704"/>
      <c r="D8" s="711"/>
      <c r="E8" s="2367" t="s">
        <v>572</v>
      </c>
      <c r="F8" s="2368"/>
      <c r="G8" s="2393" t="str">
        <f>IF(G6="","",INDEX(DIFFERENTIATION_UNMERGE_AREA,MATCH(G6,DIFFERENTIATION_ID_DIFF,0)))</f>
        <v/>
      </c>
      <c r="H8" s="2394"/>
      <c r="I8" s="2393" t="str">
        <f>IF(I6="","",INDEX(DIFFERENTIATION_UNMERGE_AREA,MATCH(I6,DIFFERENTIATION_ID_DIFF,0)))</f>
        <v/>
      </c>
      <c r="J8" s="2394"/>
      <c r="K8" s="2199"/>
      <c r="L8" s="509"/>
      <c r="X8" s="505">
        <v>11</v>
      </c>
    </row>
    <row customHeight="1" ht="11.549999999999999">
      <c r="A9" s="704"/>
      <c r="D9" s="711"/>
      <c r="E9" s="2367" t="s">
        <v>573</v>
      </c>
      <c r="F9" s="2368"/>
      <c r="G9" s="2393" t="str">
        <f>IF(G6="","",INDEX(DIFFERENTIATION_UNMERGE_SYSTEM,MATCH(G6,DIFFERENTIATION_ID_DIFF,0)))</f>
        <v/>
      </c>
      <c r="H9" s="2394"/>
      <c r="I9" s="2393" t="str">
        <f>IF(I6="","",INDEX(DIFFERENTIATION_UNMERGE_SYSTEM,MATCH(I6,DIFFERENTIATION_ID_DIFF,0)))</f>
        <v>без дифференциации</v>
      </c>
      <c r="J9" s="2394"/>
      <c r="K9" s="2199"/>
      <c r="L9" s="509"/>
      <c r="X9" s="505">
        <v>11</v>
      </c>
    </row>
    <row s="1635" customFormat="1" customHeight="1" ht="11.549999999999999">
      <c r="A10" s="1021"/>
      <c r="B10" s="511"/>
      <c r="D10" s="2101" t="s">
        <v>308</v>
      </c>
      <c r="E10" s="2102"/>
      <c r="F10" s="2102"/>
      <c r="G10" s="2102"/>
      <c r="H10" s="2102"/>
      <c r="I10" s="2102"/>
      <c r="J10" s="2103"/>
      <c r="K10" s="2199"/>
      <c r="L10" s="509"/>
      <c r="X10" s="758">
        <v>11</v>
      </c>
    </row>
    <row s="1635" customFormat="1" customHeight="1" ht="24">
      <c r="A11" s="2385"/>
      <c r="B11" s="2385"/>
      <c r="C11" s="657"/>
      <c r="D11" s="703" t="s">
        <v>92</v>
      </c>
      <c r="E11" s="705" t="s">
        <v>814</v>
      </c>
      <c r="F11" s="705" t="s">
        <v>574</v>
      </c>
      <c r="G11" s="465" t="s">
        <v>311</v>
      </c>
      <c r="H11" s="465" t="s">
        <v>398</v>
      </c>
      <c r="I11" s="807" t="s">
        <v>311</v>
      </c>
      <c r="J11" s="808" t="s">
        <v>398</v>
      </c>
      <c r="K11" s="2232"/>
      <c r="L11" s="658"/>
      <c r="X11" s="509">
        <v>23</v>
      </c>
    </row>
    <row s="1642" customFormat="1" customHeight="1" ht="10.5">
      <c r="A12" s="952"/>
      <c r="D12" s="1025" t="s">
        <v>113</v>
      </c>
      <c r="E12" s="1025" t="s">
        <v>114</v>
      </c>
      <c r="F12" s="1025" t="s">
        <v>94</v>
      </c>
      <c r="G12" s="1026" t="str">
        <f>G1&amp;".1"</f>
        <v>4.1</v>
      </c>
      <c r="H12" s="1026" t="str">
        <f>G1&amp;".2"</f>
        <v>4.2</v>
      </c>
      <c r="I12" s="1026" t="str">
        <f>I1&amp;".1"</f>
        <v>4.1</v>
      </c>
      <c r="J12" s="1026" t="str">
        <f>I1&amp;".2"</f>
        <v>4.2</v>
      </c>
      <c r="K12" s="1026"/>
      <c r="X12" s="511">
        <v>10</v>
      </c>
    </row>
    <row customHeight="1" ht="22.5">
      <c r="A13" s="2392" t="s">
        <v>815</v>
      </c>
      <c r="D13" s="953" t="s">
        <v>113</v>
      </c>
      <c r="E13" s="279" t="s">
        <v>816</v>
      </c>
      <c r="F13" s="660" t="s">
        <v>817</v>
      </c>
      <c r="G13" s="557"/>
      <c r="H13" s="661"/>
      <c r="I13" s="557"/>
      <c r="J13" s="661"/>
      <c r="K13" s="289" t="s">
        <v>818</v>
      </c>
      <c r="L13" s="720"/>
      <c r="X13" s="505">
        <v>0</v>
      </c>
    </row>
    <row customHeight="1" ht="22.5">
      <c r="A14" s="2392"/>
      <c r="D14" s="539" t="s">
        <v>114</v>
      </c>
      <c r="E14" s="279" t="s">
        <v>819</v>
      </c>
      <c r="F14" s="660" t="s">
        <v>820</v>
      </c>
      <c r="G14" s="557"/>
      <c r="H14" s="662"/>
      <c r="I14" s="557"/>
      <c r="J14" s="662"/>
      <c r="K14" s="289" t="s">
        <v>821</v>
      </c>
      <c r="L14" s="720"/>
      <c r="X14" s="505">
        <v>0</v>
      </c>
    </row>
    <row s="1635" customFormat="1" customHeight="1" ht="78.75">
      <c r="A15" s="2392"/>
      <c r="B15" s="511"/>
      <c r="D15" s="953" t="s">
        <v>94</v>
      </c>
      <c r="E15" s="707" t="s">
        <v>822</v>
      </c>
      <c r="F15" s="950" t="s">
        <v>314</v>
      </c>
      <c r="G15" s="950" t="s">
        <v>314</v>
      </c>
      <c r="H15" s="106"/>
      <c r="I15" s="950" t="s">
        <v>314</v>
      </c>
      <c r="J15" s="106"/>
      <c r="K15" s="289" t="s">
        <v>823</v>
      </c>
      <c r="L15" s="720"/>
      <c r="X15" s="758">
        <v>0</v>
      </c>
    </row>
    <row s="1635" customFormat="1" customHeight="1" ht="22.5">
      <c r="A16" s="2392"/>
      <c r="B16" s="511"/>
      <c r="D16" s="953" t="s">
        <v>332</v>
      </c>
      <c r="E16" s="954" t="s">
        <v>824</v>
      </c>
      <c r="F16" s="950" t="s">
        <v>825</v>
      </c>
      <c r="G16" s="817"/>
      <c r="H16" s="106"/>
      <c r="I16" s="817"/>
      <c r="J16" s="106"/>
      <c r="K16" s="289"/>
      <c r="L16" s="720"/>
      <c r="X16" s="758">
        <v>0</v>
      </c>
    </row>
    <row s="1635" customFormat="1" customHeight="1" ht="22.5">
      <c r="A17" s="2392"/>
      <c r="B17" s="511"/>
      <c r="D17" s="953" t="s">
        <v>340</v>
      </c>
      <c r="E17" s="954" t="s">
        <v>826</v>
      </c>
      <c r="F17" s="950" t="s">
        <v>827</v>
      </c>
      <c r="G17" s="817"/>
      <c r="H17" s="106"/>
      <c r="I17" s="817"/>
      <c r="J17" s="106"/>
      <c r="K17" s="289"/>
      <c r="L17" s="720"/>
      <c r="X17" s="758">
        <v>0</v>
      </c>
    </row>
    <row s="1635" customFormat="1" customHeight="1" ht="33.75">
      <c r="A18" s="2392"/>
      <c r="B18" s="511"/>
      <c r="D18" s="953" t="s">
        <v>342</v>
      </c>
      <c r="E18" s="954" t="s">
        <v>828</v>
      </c>
      <c r="F18" s="950" t="s">
        <v>579</v>
      </c>
      <c r="G18" s="680"/>
      <c r="H18" s="106"/>
      <c r="I18" s="680"/>
      <c r="J18" s="106"/>
      <c r="K18" s="289"/>
      <c r="L18" s="720"/>
      <c r="X18" s="758">
        <v>0</v>
      </c>
    </row>
    <row customHeight="1" ht="101.25">
      <c r="A19" s="2392"/>
      <c r="D19" s="953" t="s">
        <v>95</v>
      </c>
      <c r="E19" s="279" t="s">
        <v>829</v>
      </c>
      <c r="F19" s="660" t="s">
        <v>554</v>
      </c>
      <c r="G19" s="663"/>
      <c r="H19" s="662"/>
      <c r="I19" s="955"/>
      <c r="J19" s="662"/>
      <c r="K19" s="289" t="s">
        <v>830</v>
      </c>
      <c r="L19" s="720"/>
      <c r="X19" s="505">
        <v>0</v>
      </c>
    </row>
    <row s="1635" customFormat="1" customHeight="1" ht="18.75">
      <c r="A20" s="2392"/>
      <c r="C20" s="956"/>
      <c r="D20" s="953" t="s">
        <v>761</v>
      </c>
      <c r="E20" s="954" t="s">
        <v>831</v>
      </c>
      <c r="F20" s="950" t="s">
        <v>314</v>
      </c>
      <c r="G20" s="950" t="s">
        <v>314</v>
      </c>
      <c r="H20" s="949" t="s">
        <v>314</v>
      </c>
      <c r="I20" s="950" t="s">
        <v>314</v>
      </c>
      <c r="J20" s="949" t="s">
        <v>314</v>
      </c>
      <c r="K20" s="948"/>
      <c r="L20" s="720"/>
      <c r="W20" s="675"/>
      <c r="X20" s="758">
        <v>0</v>
      </c>
    </row>
    <row s="1635" customFormat="1" customHeight="1" ht="33.75">
      <c r="A21" s="2392"/>
      <c r="C21" s="956"/>
      <c r="D21" s="953" t="s">
        <v>764</v>
      </c>
      <c r="E21" s="576" t="s">
        <v>832</v>
      </c>
      <c r="F21" s="950" t="s">
        <v>833</v>
      </c>
      <c r="G21" s="680"/>
      <c r="H21" s="106"/>
      <c r="I21" s="680"/>
      <c r="J21" s="106"/>
      <c r="K21" s="948"/>
      <c r="L21" s="720"/>
      <c r="W21" s="675"/>
      <c r="X21" s="758">
        <v>0</v>
      </c>
    </row>
    <row s="1635" customFormat="1" customHeight="1" ht="33.75">
      <c r="A22" s="2392"/>
      <c r="C22" s="956"/>
      <c r="D22" s="953" t="s">
        <v>767</v>
      </c>
      <c r="E22" s="576" t="s">
        <v>834</v>
      </c>
      <c r="F22" s="950" t="s">
        <v>835</v>
      </c>
      <c r="G22" s="680"/>
      <c r="H22" s="106"/>
      <c r="I22" s="680"/>
      <c r="J22" s="106"/>
      <c r="K22" s="948"/>
      <c r="L22" s="720"/>
      <c r="W22" s="675"/>
      <c r="X22" s="758">
        <v>0</v>
      </c>
    </row>
    <row s="1635" customFormat="1" customHeight="1" ht="22.5">
      <c r="A23" s="2392"/>
      <c r="C23" s="956"/>
      <c r="D23" s="953" t="s">
        <v>803</v>
      </c>
      <c r="E23" s="954" t="s">
        <v>836</v>
      </c>
      <c r="F23" s="950" t="s">
        <v>314</v>
      </c>
      <c r="G23" s="950" t="s">
        <v>314</v>
      </c>
      <c r="H23" s="949" t="s">
        <v>314</v>
      </c>
      <c r="I23" s="950" t="s">
        <v>314</v>
      </c>
      <c r="J23" s="949" t="s">
        <v>314</v>
      </c>
      <c r="K23" s="948"/>
      <c r="L23" s="720"/>
      <c r="W23" s="675"/>
      <c r="X23" s="758">
        <v>0</v>
      </c>
    </row>
    <row s="1635" customFormat="1" customHeight="1" ht="22.5">
      <c r="A24" s="2392"/>
      <c r="C24" s="956"/>
      <c r="D24" s="953" t="s">
        <v>837</v>
      </c>
      <c r="E24" s="576" t="s">
        <v>838</v>
      </c>
      <c r="F24" s="950" t="s">
        <v>839</v>
      </c>
      <c r="G24" s="680"/>
      <c r="H24" s="686"/>
      <c r="I24" s="680"/>
      <c r="J24" s="686"/>
      <c r="K24" s="948"/>
      <c r="L24" s="720"/>
      <c r="W24" s="675"/>
      <c r="X24" s="758">
        <v>0</v>
      </c>
    </row>
    <row s="1635" customFormat="1" customHeight="1" ht="22.5">
      <c r="A25" s="2392"/>
      <c r="C25" s="956"/>
      <c r="D25" s="953" t="s">
        <v>840</v>
      </c>
      <c r="E25" s="576" t="s">
        <v>841</v>
      </c>
      <c r="F25" s="950" t="s">
        <v>314</v>
      </c>
      <c r="G25" s="950" t="s">
        <v>314</v>
      </c>
      <c r="H25" s="949" t="s">
        <v>314</v>
      </c>
      <c r="I25" s="950" t="s">
        <v>314</v>
      </c>
      <c r="J25" s="949" t="s">
        <v>314</v>
      </c>
      <c r="K25" s="948"/>
      <c r="L25" s="720"/>
      <c r="W25" s="675"/>
      <c r="X25" s="758">
        <v>0</v>
      </c>
    </row>
    <row s="1635" customFormat="1" customHeight="1" ht="18.75">
      <c r="A26" s="2392"/>
      <c r="C26" s="956"/>
      <c r="D26" s="953" t="s">
        <v>842</v>
      </c>
      <c r="E26" s="553" t="s">
        <v>843</v>
      </c>
      <c r="F26" s="950" t="s">
        <v>844</v>
      </c>
      <c r="G26" s="680"/>
      <c r="H26" s="686"/>
      <c r="I26" s="680"/>
      <c r="J26" s="686"/>
      <c r="K26" s="948"/>
      <c r="L26" s="720"/>
      <c r="W26" s="675"/>
      <c r="X26" s="758">
        <v>0</v>
      </c>
    </row>
    <row s="1635" customFormat="1" customHeight="1" ht="18.75">
      <c r="A27" s="2392"/>
      <c r="C27" s="956"/>
      <c r="D27" s="953" t="s">
        <v>845</v>
      </c>
      <c r="E27" s="553" t="s">
        <v>846</v>
      </c>
      <c r="F27" s="950" t="s">
        <v>847</v>
      </c>
      <c r="G27" s="680"/>
      <c r="H27" s="686"/>
      <c r="I27" s="680"/>
      <c r="J27" s="686"/>
      <c r="K27" s="948"/>
      <c r="L27" s="720"/>
      <c r="W27" s="675"/>
      <c r="X27" s="758">
        <v>0</v>
      </c>
    </row>
    <row s="1635" customFormat="1" customHeight="1" ht="18.75">
      <c r="A28" s="2392"/>
      <c r="C28" s="956"/>
      <c r="D28" s="953" t="s">
        <v>848</v>
      </c>
      <c r="E28" s="576" t="s">
        <v>849</v>
      </c>
      <c r="F28" s="950" t="s">
        <v>314</v>
      </c>
      <c r="G28" s="950" t="s">
        <v>314</v>
      </c>
      <c r="H28" s="949" t="s">
        <v>314</v>
      </c>
      <c r="I28" s="950" t="s">
        <v>314</v>
      </c>
      <c r="J28" s="949" t="s">
        <v>314</v>
      </c>
      <c r="K28" s="948"/>
      <c r="L28" s="720"/>
      <c r="W28" s="675"/>
      <c r="X28" s="758">
        <v>0</v>
      </c>
    </row>
    <row s="1635" customFormat="1" customHeight="1" ht="18.75">
      <c r="A29" s="2392"/>
      <c r="C29" s="956"/>
      <c r="D29" s="953" t="s">
        <v>850</v>
      </c>
      <c r="E29" s="553" t="s">
        <v>843</v>
      </c>
      <c r="F29" s="950" t="s">
        <v>851</v>
      </c>
      <c r="G29" s="680"/>
      <c r="H29" s="686"/>
      <c r="I29" s="680"/>
      <c r="J29" s="686"/>
      <c r="K29" s="948"/>
      <c r="L29" s="720"/>
      <c r="W29" s="675"/>
      <c r="X29" s="758">
        <v>0</v>
      </c>
    </row>
    <row s="1635" customFormat="1" customHeight="1" ht="18.75">
      <c r="A30" s="2392"/>
      <c r="C30" s="956"/>
      <c r="D30" s="953" t="s">
        <v>852</v>
      </c>
      <c r="E30" s="553" t="s">
        <v>853</v>
      </c>
      <c r="F30" s="950" t="s">
        <v>854</v>
      </c>
      <c r="G30" s="680"/>
      <c r="H30" s="686"/>
      <c r="I30" s="680"/>
      <c r="J30" s="686"/>
      <c r="K30" s="948"/>
      <c r="L30" s="720"/>
      <c r="W30" s="675"/>
      <c r="X30" s="758">
        <v>0</v>
      </c>
    </row>
    <row customHeight="1" ht="126.75">
      <c r="A31" s="2392"/>
      <c r="D31" s="953" t="s">
        <v>115</v>
      </c>
      <c r="E31" s="279" t="s">
        <v>855</v>
      </c>
      <c r="F31" s="660" t="s">
        <v>566</v>
      </c>
      <c r="G31" s="557"/>
      <c r="H31" s="662"/>
      <c r="I31" s="557"/>
      <c r="J31" s="662"/>
      <c r="K31" s="289" t="s">
        <v>856</v>
      </c>
      <c r="L31" s="720"/>
      <c r="X31" s="505">
        <v>0</v>
      </c>
    </row>
    <row customHeight="1" ht="56.25">
      <c r="A32" s="2392"/>
      <c r="D32" s="953" t="s">
        <v>96</v>
      </c>
      <c r="E32" s="279" t="s">
        <v>857</v>
      </c>
      <c r="F32" s="539" t="s">
        <v>827</v>
      </c>
      <c r="G32" s="557"/>
      <c r="H32" s="662"/>
      <c r="I32" s="557"/>
      <c r="J32" s="662"/>
      <c r="K32" s="289" t="s">
        <v>858</v>
      </c>
      <c r="L32" s="720"/>
      <c r="X32" s="505">
        <v>0</v>
      </c>
    </row>
    <row customHeight="1" ht="11.25">
      <c r="A33" s="2392"/>
      <c r="E33" s="664"/>
      <c r="F33" s="181"/>
      <c r="G33" s="181"/>
      <c r="H33" s="181"/>
      <c r="I33" s="181"/>
      <c r="J33" s="181"/>
      <c r="K33" s="181"/>
      <c r="X33" s="505">
        <v>0</v>
      </c>
    </row>
    <row customHeight="1" ht="12.75">
      <c r="A34" s="2392"/>
      <c r="D34" s="65">
        <v>1</v>
      </c>
      <c r="E34" s="335" t="s">
        <v>859</v>
      </c>
      <c r="X34" s="505">
        <v>0</v>
      </c>
    </row>
    <row customHeight="1" ht="11.25">
      <c r="A35" s="2392"/>
      <c r="D35" s="369"/>
      <c r="E35" s="335" t="s">
        <v>860</v>
      </c>
      <c r="X35" s="505">
        <v>0</v>
      </c>
    </row>
    <row s="1635" customFormat="1" customHeight="1" ht="11.549999999999999">
      <c r="A36" s="1033"/>
      <c r="B36" s="518"/>
      <c r="D36" s="1034"/>
      <c r="E36" s="1035"/>
      <c r="X36" s="509">
        <v>11</v>
      </c>
    </row>
    <row s="1635" customFormat="1" customHeight="1" ht="22.5" hidden="1">
      <c r="A37" s="2392" t="s">
        <v>861</v>
      </c>
      <c r="B37" s="511"/>
      <c r="D37" s="953">
        <v>1</v>
      </c>
      <c r="E37" s="707" t="s">
        <v>862</v>
      </c>
      <c r="F37" s="660" t="s">
        <v>817</v>
      </c>
      <c r="G37" s="557"/>
      <c r="H37" s="519"/>
      <c r="I37" s="557"/>
      <c r="J37" s="519"/>
      <c r="K37" s="289" t="s">
        <v>863</v>
      </c>
      <c r="X37" s="758">
        <v>0</v>
      </c>
    </row>
    <row s="1635" customFormat="1" customHeight="1" ht="22.5" hidden="1">
      <c r="A38" s="2392"/>
      <c r="B38" s="511"/>
      <c r="D38" s="669" t="s">
        <v>114</v>
      </c>
      <c r="E38" s="1032" t="s">
        <v>864</v>
      </c>
      <c r="F38" s="1036" t="s">
        <v>554</v>
      </c>
      <c r="G38" s="1036" t="s">
        <v>554</v>
      </c>
      <c r="H38" s="1030"/>
      <c r="I38" s="1036" t="s">
        <v>554</v>
      </c>
      <c r="J38" s="1030"/>
      <c r="K38" s="1031"/>
      <c r="X38" s="758">
        <v>0</v>
      </c>
    </row>
    <row s="1635" customFormat="1" customHeight="1" ht="33.75" hidden="1">
      <c r="A39" s="2392"/>
      <c r="B39" s="511"/>
      <c r="D39" s="665" t="s">
        <v>719</v>
      </c>
      <c r="E39" s="723" t="s">
        <v>865</v>
      </c>
      <c r="F39" s="660" t="s">
        <v>866</v>
      </c>
      <c r="G39" s="668"/>
      <c r="H39" s="1023"/>
      <c r="I39" s="668"/>
      <c r="J39" s="1023"/>
      <c r="K39" s="289" t="s">
        <v>867</v>
      </c>
      <c r="X39" s="758">
        <v>0</v>
      </c>
    </row>
    <row s="1635" customFormat="1" customHeight="1" ht="33.75" hidden="1">
      <c r="A40" s="2392"/>
      <c r="B40" s="511"/>
      <c r="D40" s="665" t="s">
        <v>722</v>
      </c>
      <c r="E40" s="723" t="s">
        <v>868</v>
      </c>
      <c r="F40" s="1027" t="s">
        <v>869</v>
      </c>
      <c r="G40" s="741"/>
      <c r="H40" s="1023"/>
      <c r="I40" s="741"/>
      <c r="J40" s="1023"/>
      <c r="K40" s="289" t="s">
        <v>870</v>
      </c>
      <c r="X40" s="758">
        <v>0</v>
      </c>
    </row>
    <row s="1635" customFormat="1" customHeight="1" ht="22.5" hidden="1">
      <c r="A41" s="2392"/>
      <c r="B41" s="511"/>
      <c r="D41" s="665" t="s">
        <v>94</v>
      </c>
      <c r="E41" s="722" t="s">
        <v>871</v>
      </c>
      <c r="F41" s="660" t="s">
        <v>554</v>
      </c>
      <c r="G41" s="660" t="s">
        <v>554</v>
      </c>
      <c r="H41" s="1024"/>
      <c r="I41" s="660" t="s">
        <v>554</v>
      </c>
      <c r="J41" s="1024"/>
      <c r="K41" s="302"/>
      <c r="X41" s="758">
        <v>0</v>
      </c>
    </row>
    <row s="1635" customFormat="1" customHeight="1" ht="45" hidden="1">
      <c r="A42" s="2392"/>
      <c r="B42" s="511"/>
      <c r="D42" s="665" t="s">
        <v>332</v>
      </c>
      <c r="E42" s="723" t="s">
        <v>872</v>
      </c>
      <c r="F42" s="660" t="s">
        <v>566</v>
      </c>
      <c r="G42" s="557"/>
      <c r="H42" s="1024"/>
      <c r="I42" s="557"/>
      <c r="J42" s="1024"/>
      <c r="K42" s="302" t="s">
        <v>873</v>
      </c>
      <c r="X42" s="758">
        <v>0</v>
      </c>
    </row>
    <row s="1635" customFormat="1" customHeight="1" ht="45" hidden="1">
      <c r="A43" s="2392"/>
      <c r="B43" s="511"/>
      <c r="D43" s="665" t="s">
        <v>340</v>
      </c>
      <c r="E43" s="667" t="s">
        <v>874</v>
      </c>
      <c r="F43" s="1028" t="s">
        <v>566</v>
      </c>
      <c r="G43" s="742"/>
      <c r="H43" s="1023"/>
      <c r="I43" s="742"/>
      <c r="J43" s="1023"/>
      <c r="K43" s="302" t="s">
        <v>875</v>
      </c>
      <c r="X43" s="758">
        <v>0</v>
      </c>
    </row>
    <row s="1635" customFormat="1" customHeight="1" ht="11.25" hidden="1">
      <c r="A44" s="2392"/>
      <c r="B44" s="511"/>
      <c r="D44" s="665" t="s">
        <v>95</v>
      </c>
      <c r="E44" s="666" t="s">
        <v>876</v>
      </c>
      <c r="F44" s="660" t="s">
        <v>866</v>
      </c>
      <c r="G44" s="668"/>
      <c r="H44" s="1023"/>
      <c r="I44" s="668"/>
      <c r="J44" s="1023"/>
      <c r="K44" s="289"/>
      <c r="X44" s="758">
        <v>0</v>
      </c>
    </row>
    <row s="1635" customFormat="1" customHeight="1" ht="11.25" hidden="1">
      <c r="A45" s="2392"/>
      <c r="B45" s="511"/>
      <c r="D45" s="665" t="s">
        <v>761</v>
      </c>
      <c r="E45" s="667" t="s">
        <v>877</v>
      </c>
      <c r="F45" s="660" t="s">
        <v>866</v>
      </c>
      <c r="G45" s="668"/>
      <c r="H45" s="1023"/>
      <c r="I45" s="668"/>
      <c r="J45" s="1023"/>
      <c r="K45" s="289"/>
      <c r="X45" s="758">
        <v>0</v>
      </c>
    </row>
    <row s="1635" customFormat="1" customHeight="1" ht="11.25" hidden="1">
      <c r="A46" s="2392"/>
      <c r="B46" s="511"/>
      <c r="D46" s="665" t="s">
        <v>803</v>
      </c>
      <c r="E46" s="667" t="s">
        <v>878</v>
      </c>
      <c r="F46" s="660" t="s">
        <v>866</v>
      </c>
      <c r="G46" s="668"/>
      <c r="H46" s="1023"/>
      <c r="I46" s="668"/>
      <c r="J46" s="1023"/>
      <c r="K46" s="289"/>
      <c r="X46" s="758">
        <v>0</v>
      </c>
    </row>
    <row s="1635" customFormat="1" customHeight="1" ht="11.25" hidden="1">
      <c r="A47" s="2392"/>
      <c r="B47" s="511"/>
      <c r="D47" s="665" t="s">
        <v>806</v>
      </c>
      <c r="E47" s="667" t="s">
        <v>879</v>
      </c>
      <c r="F47" s="660" t="s">
        <v>866</v>
      </c>
      <c r="G47" s="668"/>
      <c r="H47" s="1023"/>
      <c r="I47" s="668"/>
      <c r="J47" s="1023"/>
      <c r="K47" s="289"/>
      <c r="X47" s="758">
        <v>0</v>
      </c>
    </row>
    <row s="1635" customFormat="1" customHeight="1" ht="11.25" hidden="1">
      <c r="A48" s="2392"/>
      <c r="B48" s="511"/>
      <c r="D48" s="665" t="s">
        <v>880</v>
      </c>
      <c r="E48" s="671" t="s">
        <v>881</v>
      </c>
      <c r="F48" s="660" t="s">
        <v>866</v>
      </c>
      <c r="G48" s="668"/>
      <c r="H48" s="1023"/>
      <c r="I48" s="668"/>
      <c r="J48" s="1023"/>
      <c r="K48" s="289"/>
      <c r="X48" s="758">
        <v>0</v>
      </c>
    </row>
    <row s="1635" customFormat="1" customHeight="1" ht="11.25" hidden="1">
      <c r="A49" s="2392"/>
      <c r="B49" s="511"/>
      <c r="D49" s="665" t="s">
        <v>882</v>
      </c>
      <c r="E49" s="671" t="s">
        <v>883</v>
      </c>
      <c r="F49" s="660" t="s">
        <v>866</v>
      </c>
      <c r="G49" s="668"/>
      <c r="H49" s="1023"/>
      <c r="I49" s="668"/>
      <c r="J49" s="1023"/>
      <c r="K49" s="289"/>
      <c r="X49" s="758">
        <v>0</v>
      </c>
    </row>
    <row s="1635" customFormat="1" customHeight="1" ht="11.25" hidden="1">
      <c r="A50" s="2392"/>
      <c r="B50" s="511"/>
      <c r="D50" s="665" t="s">
        <v>884</v>
      </c>
      <c r="E50" s="667" t="s">
        <v>885</v>
      </c>
      <c r="F50" s="660" t="s">
        <v>866</v>
      </c>
      <c r="G50" s="668"/>
      <c r="H50" s="1023"/>
      <c r="I50" s="668"/>
      <c r="J50" s="1023"/>
      <c r="K50" s="289"/>
      <c r="X50" s="758">
        <v>0</v>
      </c>
    </row>
    <row s="1635" customFormat="1" customHeight="1" ht="11.25" hidden="1">
      <c r="A51" s="2392"/>
      <c r="B51" s="511"/>
      <c r="D51" s="665" t="s">
        <v>886</v>
      </c>
      <c r="E51" s="667" t="s">
        <v>887</v>
      </c>
      <c r="F51" s="660" t="s">
        <v>866</v>
      </c>
      <c r="G51" s="668"/>
      <c r="H51" s="1023"/>
      <c r="I51" s="668"/>
      <c r="J51" s="1023"/>
      <c r="K51" s="289"/>
      <c r="X51" s="758">
        <v>0</v>
      </c>
    </row>
    <row s="1635" customFormat="1" customHeight="1" ht="45" hidden="1">
      <c r="A52" s="2392"/>
      <c r="B52" s="511"/>
      <c r="D52" s="665" t="s">
        <v>115</v>
      </c>
      <c r="E52" s="666" t="s">
        <v>888</v>
      </c>
      <c r="F52" s="660" t="s">
        <v>866</v>
      </c>
      <c r="G52" s="668"/>
      <c r="H52" s="1023"/>
      <c r="I52" s="668"/>
      <c r="J52" s="1023"/>
      <c r="K52" s="289"/>
      <c r="X52" s="758">
        <v>0</v>
      </c>
    </row>
    <row s="1635" customFormat="1" customHeight="1" ht="11.25" hidden="1">
      <c r="A53" s="2392"/>
      <c r="B53" s="511"/>
      <c r="D53" s="665" t="s">
        <v>321</v>
      </c>
      <c r="E53" s="667" t="s">
        <v>877</v>
      </c>
      <c r="F53" s="660" t="s">
        <v>866</v>
      </c>
      <c r="G53" s="668"/>
      <c r="H53" s="1023"/>
      <c r="I53" s="668"/>
      <c r="J53" s="1023"/>
      <c r="K53" s="289"/>
      <c r="X53" s="758">
        <v>0</v>
      </c>
    </row>
    <row s="1635" customFormat="1" customHeight="1" ht="11.25" hidden="1">
      <c r="A54" s="2392"/>
      <c r="B54" s="511"/>
      <c r="D54" s="665" t="s">
        <v>889</v>
      </c>
      <c r="E54" s="667" t="s">
        <v>878</v>
      </c>
      <c r="F54" s="660" t="s">
        <v>866</v>
      </c>
      <c r="G54" s="668"/>
      <c r="H54" s="1023"/>
      <c r="I54" s="668"/>
      <c r="J54" s="1023"/>
      <c r="K54" s="289"/>
      <c r="X54" s="758">
        <v>0</v>
      </c>
    </row>
    <row s="1635" customFormat="1" customHeight="1" ht="11.25" hidden="1">
      <c r="A55" s="2392"/>
      <c r="B55" s="511"/>
      <c r="D55" s="665" t="s">
        <v>890</v>
      </c>
      <c r="E55" s="667" t="s">
        <v>879</v>
      </c>
      <c r="F55" s="660" t="s">
        <v>866</v>
      </c>
      <c r="G55" s="668"/>
      <c r="H55" s="1023"/>
      <c r="I55" s="668"/>
      <c r="J55" s="1023"/>
      <c r="K55" s="289"/>
      <c r="X55" s="758">
        <v>0</v>
      </c>
    </row>
    <row s="1635" customFormat="1" customHeight="1" ht="11.25" hidden="1">
      <c r="A56" s="2392"/>
      <c r="B56" s="511"/>
      <c r="D56" s="665" t="s">
        <v>891</v>
      </c>
      <c r="E56" s="671" t="s">
        <v>881</v>
      </c>
      <c r="F56" s="660" t="s">
        <v>866</v>
      </c>
      <c r="G56" s="668"/>
      <c r="H56" s="1023"/>
      <c r="I56" s="668"/>
      <c r="J56" s="1023"/>
      <c r="K56" s="289"/>
      <c r="X56" s="758">
        <v>0</v>
      </c>
    </row>
    <row s="1635" customFormat="1" customHeight="1" ht="11.25" hidden="1">
      <c r="A57" s="2392"/>
      <c r="B57" s="511"/>
      <c r="D57" s="665" t="s">
        <v>892</v>
      </c>
      <c r="E57" s="671" t="s">
        <v>883</v>
      </c>
      <c r="F57" s="660" t="s">
        <v>866</v>
      </c>
      <c r="G57" s="668"/>
      <c r="H57" s="1023"/>
      <c r="I57" s="668"/>
      <c r="J57" s="1023"/>
      <c r="K57" s="289"/>
      <c r="X57" s="758">
        <v>0</v>
      </c>
    </row>
    <row s="1635" customFormat="1" customHeight="1" ht="11.25" hidden="1">
      <c r="A58" s="2392"/>
      <c r="B58" s="511"/>
      <c r="D58" s="665" t="s">
        <v>893</v>
      </c>
      <c r="E58" s="667" t="s">
        <v>885</v>
      </c>
      <c r="F58" s="660" t="s">
        <v>866</v>
      </c>
      <c r="G58" s="668"/>
      <c r="H58" s="1023"/>
      <c r="I58" s="668"/>
      <c r="J58" s="1023"/>
      <c r="K58" s="289"/>
      <c r="X58" s="758">
        <v>0</v>
      </c>
    </row>
    <row s="1635" customFormat="1" customHeight="1" ht="11.25" hidden="1">
      <c r="A59" s="2392"/>
      <c r="B59" s="511"/>
      <c r="D59" s="665" t="s">
        <v>894</v>
      </c>
      <c r="E59" s="667" t="s">
        <v>887</v>
      </c>
      <c r="F59" s="660" t="s">
        <v>866</v>
      </c>
      <c r="G59" s="668"/>
      <c r="H59" s="1023"/>
      <c r="I59" s="668"/>
      <c r="J59" s="1023"/>
      <c r="K59" s="289"/>
      <c r="X59" s="758">
        <v>0</v>
      </c>
    </row>
    <row s="1635" customFormat="1" customHeight="1" ht="33.75" hidden="1">
      <c r="A60" s="2392"/>
      <c r="B60" s="511"/>
      <c r="D60" s="665" t="s">
        <v>96</v>
      </c>
      <c r="E60" s="666" t="s">
        <v>895</v>
      </c>
      <c r="F60" s="721" t="s">
        <v>566</v>
      </c>
      <c r="G60" s="742"/>
      <c r="H60" s="1023"/>
      <c r="I60" s="742"/>
      <c r="J60" s="1023"/>
      <c r="K60" s="302" t="s">
        <v>896</v>
      </c>
      <c r="X60" s="758">
        <v>0</v>
      </c>
    </row>
    <row s="1635" customFormat="1" customHeight="1" ht="33.75" hidden="1">
      <c r="A61" s="2392"/>
      <c r="B61" s="511"/>
      <c r="D61" s="665" t="s">
        <v>97</v>
      </c>
      <c r="E61" s="666" t="s">
        <v>897</v>
      </c>
      <c r="F61" s="726" t="s">
        <v>827</v>
      </c>
      <c r="G61" s="668"/>
      <c r="H61" s="1023"/>
      <c r="I61" s="668"/>
      <c r="J61" s="1023"/>
      <c r="K61" s="289"/>
      <c r="X61" s="758">
        <v>0</v>
      </c>
    </row>
    <row s="1635" customFormat="1" customHeight="1" ht="22.5" hidden="1">
      <c r="A62" s="2392"/>
      <c r="B62" s="511" t="s">
        <v>596</v>
      </c>
      <c r="D62" s="665" t="s">
        <v>116</v>
      </c>
      <c r="E62" s="666" t="s">
        <v>898</v>
      </c>
      <c r="F62" s="726" t="s">
        <v>314</v>
      </c>
      <c r="G62" s="382"/>
      <c r="H62" s="1023"/>
      <c r="I62" s="382"/>
      <c r="J62" s="1023"/>
      <c r="K62" s="289" t="s">
        <v>639</v>
      </c>
      <c r="X62" s="758">
        <v>0</v>
      </c>
    </row>
    <row s="1635" customFormat="1" customHeight="1" ht="45" hidden="1">
      <c r="A63" s="2392"/>
      <c r="B63" s="511" t="s">
        <v>596</v>
      </c>
      <c r="D63" s="665" t="s">
        <v>899</v>
      </c>
      <c r="E63" s="667" t="s">
        <v>900</v>
      </c>
      <c r="F63" s="721" t="s">
        <v>314</v>
      </c>
      <c r="G63" s="382"/>
      <c r="H63" s="1023"/>
      <c r="I63" s="382"/>
      <c r="J63" s="1023"/>
      <c r="K63" s="289" t="s">
        <v>639</v>
      </c>
      <c r="X63" s="758">
        <v>0</v>
      </c>
    </row>
    <row s="1635" customFormat="1" customHeight="1" ht="11.549999999999999">
      <c r="A64" s="1033"/>
      <c r="B64" s="518"/>
      <c r="D64" s="1034"/>
      <c r="E64" s="1035"/>
      <c r="X64" s="509">
        <v>11</v>
      </c>
    </row>
    <row s="1635" customFormat="1" customHeight="1" ht="22.5" hidden="1">
      <c r="A65" s="2392" t="s">
        <v>901</v>
      </c>
      <c r="B65" s="511"/>
      <c r="D65" s="665">
        <v>1</v>
      </c>
      <c r="E65" s="744" t="s">
        <v>902</v>
      </c>
      <c r="F65" s="740" t="s">
        <v>817</v>
      </c>
      <c r="G65" s="741"/>
      <c r="H65" s="1029"/>
      <c r="I65" s="741"/>
      <c r="J65" s="1029"/>
      <c r="K65" s="301" t="s">
        <v>903</v>
      </c>
      <c r="X65" s="758">
        <v>0</v>
      </c>
    </row>
    <row s="1635" customFormat="1" customHeight="1" ht="56.25" hidden="1">
      <c r="A66" s="2392"/>
      <c r="B66" s="511"/>
      <c r="D66" s="743" t="s">
        <v>114</v>
      </c>
      <c r="E66" s="707" t="s">
        <v>904</v>
      </c>
      <c r="F66" s="660" t="s">
        <v>554</v>
      </c>
      <c r="G66" s="660" t="s">
        <v>554</v>
      </c>
      <c r="H66" s="519"/>
      <c r="I66" s="660" t="s">
        <v>554</v>
      </c>
      <c r="J66" s="519"/>
      <c r="K66" s="289"/>
      <c r="X66" s="758">
        <v>0</v>
      </c>
    </row>
    <row s="1635" customFormat="1" customHeight="1" ht="33.75" hidden="1">
      <c r="A67" s="2392"/>
      <c r="B67" s="511"/>
      <c r="D67" s="743" t="s">
        <v>716</v>
      </c>
      <c r="E67" s="954" t="s">
        <v>905</v>
      </c>
      <c r="F67" s="660" t="s">
        <v>869</v>
      </c>
      <c r="G67" s="727"/>
      <c r="H67" s="519"/>
      <c r="I67" s="727"/>
      <c r="J67" s="519"/>
      <c r="K67" s="289"/>
      <c r="X67" s="758">
        <v>0</v>
      </c>
    </row>
    <row s="1635" customFormat="1" customHeight="1" ht="22.5" hidden="1">
      <c r="A68" s="2392"/>
      <c r="B68" s="511"/>
      <c r="D68" s="743" t="s">
        <v>315</v>
      </c>
      <c r="E68" s="954" t="s">
        <v>906</v>
      </c>
      <c r="F68" s="660" t="s">
        <v>869</v>
      </c>
      <c r="G68" s="727"/>
      <c r="H68" s="519"/>
      <c r="I68" s="727"/>
      <c r="J68" s="519"/>
      <c r="K68" s="289"/>
      <c r="X68" s="758">
        <v>0</v>
      </c>
    </row>
    <row s="1635" customFormat="1" customHeight="1" ht="22.5" hidden="1">
      <c r="A69" s="2392"/>
      <c r="B69" s="511"/>
      <c r="D69" s="743" t="s">
        <v>318</v>
      </c>
      <c r="E69" s="954" t="s">
        <v>907</v>
      </c>
      <c r="F69" s="721" t="s">
        <v>566</v>
      </c>
      <c r="G69" s="742"/>
      <c r="H69" s="519"/>
      <c r="I69" s="742"/>
      <c r="J69" s="519"/>
      <c r="K69" s="289"/>
      <c r="X69" s="758">
        <v>0</v>
      </c>
    </row>
    <row s="1635" customFormat="1" customHeight="1" ht="22.5" hidden="1">
      <c r="A70" s="2392"/>
      <c r="B70" s="511"/>
      <c r="D70" s="743" t="s">
        <v>736</v>
      </c>
      <c r="E70" s="954" t="s">
        <v>908</v>
      </c>
      <c r="F70" s="721" t="s">
        <v>566</v>
      </c>
      <c r="G70" s="742"/>
      <c r="H70" s="519"/>
      <c r="I70" s="742"/>
      <c r="J70" s="519"/>
      <c r="K70" s="289"/>
      <c r="X70" s="758">
        <v>0</v>
      </c>
    </row>
    <row s="1635" customFormat="1" customHeight="1" ht="22.5" hidden="1">
      <c r="A71" s="2392"/>
      <c r="B71" s="511"/>
      <c r="D71" s="665" t="s">
        <v>94</v>
      </c>
      <c r="E71" s="666" t="s">
        <v>909</v>
      </c>
      <c r="F71" s="660" t="s">
        <v>869</v>
      </c>
      <c r="G71" s="557"/>
      <c r="H71" s="1030"/>
      <c r="I71" s="557"/>
      <c r="J71" s="1030"/>
      <c r="K71" s="302"/>
      <c r="X71" s="758">
        <v>0</v>
      </c>
    </row>
    <row s="1635" customFormat="1" customHeight="1" ht="56.25" hidden="1">
      <c r="A72" s="2392"/>
      <c r="B72" s="511"/>
      <c r="D72" s="665" t="s">
        <v>95</v>
      </c>
      <c r="E72" s="666" t="s">
        <v>910</v>
      </c>
      <c r="F72" s="721" t="s">
        <v>566</v>
      </c>
      <c r="G72" s="742"/>
      <c r="H72" s="1023"/>
      <c r="I72" s="742"/>
      <c r="J72" s="1023"/>
      <c r="K72" s="302"/>
      <c r="X72" s="758">
        <v>0</v>
      </c>
    </row>
    <row s="1635" customFormat="1" customHeight="1" ht="33.75" hidden="1">
      <c r="A73" s="2392"/>
      <c r="B73" s="511"/>
      <c r="D73" s="665" t="s">
        <v>115</v>
      </c>
      <c r="E73" s="666" t="s">
        <v>911</v>
      </c>
      <c r="F73" s="726" t="s">
        <v>827</v>
      </c>
      <c r="G73" s="668"/>
      <c r="H73" s="1023"/>
      <c r="I73" s="668"/>
      <c r="J73" s="1023"/>
      <c r="K73" s="289"/>
      <c r="X73" s="758">
        <v>0</v>
      </c>
    </row>
    <row s="1635" customFormat="1" customHeight="1" ht="22.5" hidden="1">
      <c r="A74" s="2392"/>
      <c r="B74" s="511" t="s">
        <v>596</v>
      </c>
      <c r="D74" s="665" t="s">
        <v>96</v>
      </c>
      <c r="E74" s="666" t="s">
        <v>912</v>
      </c>
      <c r="F74" s="726" t="s">
        <v>314</v>
      </c>
      <c r="G74" s="382"/>
      <c r="H74" s="1023"/>
      <c r="I74" s="382"/>
      <c r="J74" s="1023"/>
      <c r="K74" s="289" t="s">
        <v>639</v>
      </c>
      <c r="X74" s="758">
        <v>0</v>
      </c>
    </row>
    <row s="1635" customFormat="1" customHeight="1" ht="45" hidden="1">
      <c r="A75" s="2392"/>
      <c r="B75" s="511" t="s">
        <v>596</v>
      </c>
      <c r="D75" s="665" t="s">
        <v>660</v>
      </c>
      <c r="E75" s="667" t="s">
        <v>913</v>
      </c>
      <c r="F75" s="721" t="s">
        <v>314</v>
      </c>
      <c r="G75" s="382"/>
      <c r="H75" s="1023"/>
      <c r="I75" s="382"/>
      <c r="J75" s="1023"/>
      <c r="K75" s="289" t="s">
        <v>639</v>
      </c>
      <c r="X75" s="758">
        <v>0</v>
      </c>
    </row>
    <row s="1635" customFormat="1" customHeight="1" ht="11.549999999999999">
      <c r="A76" s="1033"/>
      <c r="B76" s="518"/>
      <c r="D76" s="1034"/>
      <c r="E76" s="1035"/>
      <c r="X76" s="509">
        <v>11</v>
      </c>
    </row>
    <row s="1635" customFormat="1" customHeight="1" ht="11.25" hidden="1">
      <c r="A77" s="2392" t="s">
        <v>914</v>
      </c>
      <c r="B77" s="511"/>
      <c r="D77" s="665">
        <v>1</v>
      </c>
      <c r="E77" s="666" t="s">
        <v>915</v>
      </c>
      <c r="F77" s="721" t="s">
        <v>817</v>
      </c>
      <c r="G77" s="724"/>
      <c r="H77" s="1023"/>
      <c r="I77" s="724"/>
      <c r="J77" s="1023"/>
      <c r="K77" s="289" t="s">
        <v>916</v>
      </c>
      <c r="X77" s="758">
        <v>0</v>
      </c>
    </row>
    <row s="1635" customFormat="1" customHeight="1" ht="11.25" hidden="1">
      <c r="A78" s="2392"/>
      <c r="B78" s="511"/>
      <c r="D78" s="665" t="s">
        <v>114</v>
      </c>
      <c r="E78" s="666" t="s">
        <v>917</v>
      </c>
      <c r="F78" s="721" t="s">
        <v>817</v>
      </c>
      <c r="G78" s="724"/>
      <c r="H78" s="1023"/>
      <c r="I78" s="724"/>
      <c r="J78" s="1023"/>
      <c r="K78" s="289" t="s">
        <v>918</v>
      </c>
      <c r="X78" s="758">
        <v>0</v>
      </c>
    </row>
    <row s="1635" customFormat="1" customHeight="1" ht="22.5" hidden="1">
      <c r="A79" s="2392"/>
      <c r="B79" s="511"/>
      <c r="D79" s="665" t="s">
        <v>94</v>
      </c>
      <c r="E79" s="722" t="s">
        <v>919</v>
      </c>
      <c r="F79" s="660" t="s">
        <v>866</v>
      </c>
      <c r="G79" s="724"/>
      <c r="H79" s="1023"/>
      <c r="I79" s="724"/>
      <c r="J79" s="1023"/>
      <c r="K79" s="289" t="s">
        <v>920</v>
      </c>
      <c r="X79" s="758">
        <v>0</v>
      </c>
    </row>
    <row s="1635" customFormat="1" customHeight="1" ht="11.25" hidden="1">
      <c r="A80" s="2392"/>
      <c r="B80" s="511"/>
      <c r="D80" s="665" t="s">
        <v>332</v>
      </c>
      <c r="E80" s="723" t="s">
        <v>921</v>
      </c>
      <c r="F80" s="660" t="s">
        <v>866</v>
      </c>
      <c r="G80" s="724"/>
      <c r="H80" s="1023"/>
      <c r="I80" s="724"/>
      <c r="J80" s="1023"/>
      <c r="K80" s="289"/>
      <c r="X80" s="758">
        <v>0</v>
      </c>
    </row>
    <row s="1635" customFormat="1" customHeight="1" ht="11.25" hidden="1">
      <c r="A81" s="2392"/>
      <c r="B81" s="511"/>
      <c r="D81" s="665" t="s">
        <v>340</v>
      </c>
      <c r="E81" s="723" t="s">
        <v>922</v>
      </c>
      <c r="F81" s="660" t="s">
        <v>866</v>
      </c>
      <c r="G81" s="724"/>
      <c r="H81" s="1023"/>
      <c r="I81" s="724"/>
      <c r="J81" s="1023"/>
      <c r="K81" s="289"/>
      <c r="X81" s="758">
        <v>0</v>
      </c>
    </row>
    <row s="1635" customFormat="1" customHeight="1" ht="11.25" hidden="1">
      <c r="A82" s="2392"/>
      <c r="B82" s="511"/>
      <c r="D82" s="665" t="s">
        <v>342</v>
      </c>
      <c r="E82" s="723" t="s">
        <v>923</v>
      </c>
      <c r="F82" s="660" t="s">
        <v>866</v>
      </c>
      <c r="G82" s="724"/>
      <c r="H82" s="1023"/>
      <c r="I82" s="724"/>
      <c r="J82" s="1023"/>
      <c r="K82" s="289"/>
      <c r="X82" s="758">
        <v>0</v>
      </c>
    </row>
    <row s="1635" customFormat="1" customHeight="1" ht="11.25" hidden="1">
      <c r="A83" s="2392"/>
      <c r="B83" s="511"/>
      <c r="D83" s="665" t="s">
        <v>344</v>
      </c>
      <c r="E83" s="723" t="s">
        <v>924</v>
      </c>
      <c r="F83" s="660" t="s">
        <v>866</v>
      </c>
      <c r="G83" s="724"/>
      <c r="H83" s="1023"/>
      <c r="I83" s="724"/>
      <c r="J83" s="1023"/>
      <c r="K83" s="289"/>
      <c r="X83" s="758">
        <v>0</v>
      </c>
    </row>
    <row s="1635" customFormat="1" customHeight="1" ht="11.25" hidden="1">
      <c r="A84" s="2392"/>
      <c r="B84" s="511"/>
      <c r="D84" s="665" t="s">
        <v>925</v>
      </c>
      <c r="E84" s="723" t="s">
        <v>926</v>
      </c>
      <c r="F84" s="660" t="s">
        <v>866</v>
      </c>
      <c r="G84" s="724"/>
      <c r="H84" s="1023"/>
      <c r="I84" s="724"/>
      <c r="J84" s="1023"/>
      <c r="K84" s="289"/>
      <c r="X84" s="758">
        <v>0</v>
      </c>
    </row>
    <row s="1635" customFormat="1" customHeight="1" ht="11.25" hidden="1">
      <c r="A85" s="2392"/>
      <c r="B85" s="511"/>
      <c r="D85" s="665" t="s">
        <v>927</v>
      </c>
      <c r="E85" s="723" t="s">
        <v>928</v>
      </c>
      <c r="F85" s="660" t="s">
        <v>866</v>
      </c>
      <c r="G85" s="724"/>
      <c r="H85" s="1023"/>
      <c r="I85" s="724"/>
      <c r="J85" s="1023"/>
      <c r="K85" s="289"/>
      <c r="X85" s="758">
        <v>0</v>
      </c>
    </row>
    <row s="1635" customFormat="1" customHeight="1" ht="11.25" hidden="1">
      <c r="A86" s="2392"/>
      <c r="B86" s="511"/>
      <c r="D86" s="665" t="s">
        <v>929</v>
      </c>
      <c r="E86" s="723" t="s">
        <v>930</v>
      </c>
      <c r="F86" s="660" t="s">
        <v>866</v>
      </c>
      <c r="G86" s="724"/>
      <c r="H86" s="1023"/>
      <c r="I86" s="724"/>
      <c r="J86" s="1023"/>
      <c r="K86" s="289"/>
      <c r="X86" s="758">
        <v>0</v>
      </c>
    </row>
    <row s="1635" customFormat="1" customHeight="1" ht="45" hidden="1">
      <c r="A87" s="2392"/>
      <c r="B87" s="511"/>
      <c r="D87" s="665" t="s">
        <v>95</v>
      </c>
      <c r="E87" s="666" t="s">
        <v>931</v>
      </c>
      <c r="F87" s="660" t="s">
        <v>866</v>
      </c>
      <c r="G87" s="724"/>
      <c r="H87" s="1023"/>
      <c r="I87" s="724"/>
      <c r="J87" s="1023"/>
      <c r="K87" s="289" t="s">
        <v>932</v>
      </c>
      <c r="X87" s="758">
        <v>0</v>
      </c>
    </row>
    <row s="1635" customFormat="1" customHeight="1" ht="11.25" hidden="1">
      <c r="A88" s="2392"/>
      <c r="B88" s="511"/>
      <c r="D88" s="665" t="s">
        <v>761</v>
      </c>
      <c r="E88" s="723" t="s">
        <v>921</v>
      </c>
      <c r="F88" s="660" t="s">
        <v>866</v>
      </c>
      <c r="G88" s="724"/>
      <c r="H88" s="1023"/>
      <c r="I88" s="724"/>
      <c r="J88" s="1023"/>
      <c r="K88" s="289"/>
      <c r="X88" s="758">
        <v>0</v>
      </c>
    </row>
    <row s="1635" customFormat="1" customHeight="1" ht="11.25" hidden="1">
      <c r="A89" s="2392"/>
      <c r="B89" s="511"/>
      <c r="D89" s="665" t="s">
        <v>803</v>
      </c>
      <c r="E89" s="723" t="s">
        <v>922</v>
      </c>
      <c r="F89" s="660" t="s">
        <v>866</v>
      </c>
      <c r="G89" s="724"/>
      <c r="H89" s="1023"/>
      <c r="I89" s="724"/>
      <c r="J89" s="1023"/>
      <c r="K89" s="289"/>
      <c r="X89" s="758">
        <v>0</v>
      </c>
    </row>
    <row s="1635" customFormat="1" customHeight="1" ht="11.25" hidden="1">
      <c r="A90" s="2392"/>
      <c r="B90" s="511"/>
      <c r="D90" s="665" t="s">
        <v>806</v>
      </c>
      <c r="E90" s="723" t="s">
        <v>923</v>
      </c>
      <c r="F90" s="660" t="s">
        <v>866</v>
      </c>
      <c r="G90" s="724"/>
      <c r="H90" s="1023"/>
      <c r="I90" s="724"/>
      <c r="J90" s="1023"/>
      <c r="K90" s="289"/>
      <c r="X90" s="758">
        <v>0</v>
      </c>
    </row>
    <row s="1635" customFormat="1" customHeight="1" ht="11.25" hidden="1">
      <c r="A91" s="2392"/>
      <c r="B91" s="511"/>
      <c r="D91" s="665" t="s">
        <v>884</v>
      </c>
      <c r="E91" s="723" t="s">
        <v>924</v>
      </c>
      <c r="F91" s="660" t="s">
        <v>866</v>
      </c>
      <c r="G91" s="724"/>
      <c r="H91" s="1023"/>
      <c r="I91" s="724"/>
      <c r="J91" s="1023"/>
      <c r="K91" s="289"/>
      <c r="X91" s="758">
        <v>0</v>
      </c>
    </row>
    <row s="1635" customFormat="1" customHeight="1" ht="11.25" hidden="1">
      <c r="A92" s="2392"/>
      <c r="B92" s="511"/>
      <c r="D92" s="665" t="s">
        <v>886</v>
      </c>
      <c r="E92" s="723" t="s">
        <v>926</v>
      </c>
      <c r="F92" s="660" t="s">
        <v>866</v>
      </c>
      <c r="G92" s="724"/>
      <c r="H92" s="1023"/>
      <c r="I92" s="724"/>
      <c r="J92" s="1023"/>
      <c r="K92" s="289"/>
      <c r="X92" s="758">
        <v>0</v>
      </c>
    </row>
    <row s="1635" customFormat="1" customHeight="1" ht="11.25" hidden="1">
      <c r="A93" s="2392"/>
      <c r="B93" s="511"/>
      <c r="D93" s="665" t="s">
        <v>933</v>
      </c>
      <c r="E93" s="723" t="s">
        <v>928</v>
      </c>
      <c r="F93" s="660" t="s">
        <v>866</v>
      </c>
      <c r="G93" s="724"/>
      <c r="H93" s="1023"/>
      <c r="I93" s="724"/>
      <c r="J93" s="1023"/>
      <c r="K93" s="289"/>
      <c r="X93" s="758">
        <v>0</v>
      </c>
    </row>
    <row s="1635" customFormat="1" customHeight="1" ht="11.25" hidden="1">
      <c r="A94" s="2392"/>
      <c r="B94" s="511"/>
      <c r="D94" s="665" t="s">
        <v>934</v>
      </c>
      <c r="E94" s="723" t="s">
        <v>930</v>
      </c>
      <c r="F94" s="660" t="s">
        <v>866</v>
      </c>
      <c r="G94" s="724"/>
      <c r="H94" s="1023"/>
      <c r="I94" s="724"/>
      <c r="J94" s="1023"/>
      <c r="K94" s="289"/>
      <c r="X94" s="758">
        <v>0</v>
      </c>
    </row>
    <row s="1635" customFormat="1" customHeight="1" ht="24.75" hidden="1">
      <c r="A95" s="2392"/>
      <c r="B95" s="511"/>
      <c r="D95" s="665" t="s">
        <v>115</v>
      </c>
      <c r="E95" s="666" t="s">
        <v>935</v>
      </c>
      <c r="F95" s="725" t="s">
        <v>566</v>
      </c>
      <c r="G95" s="727"/>
      <c r="H95" s="1023"/>
      <c r="I95" s="727"/>
      <c r="J95" s="1023"/>
      <c r="K95" s="289" t="s">
        <v>936</v>
      </c>
      <c r="X95" s="758">
        <v>0</v>
      </c>
    </row>
    <row s="1635" customFormat="1" customHeight="1" ht="33.75" hidden="1">
      <c r="A96" s="2392"/>
      <c r="B96" s="511"/>
      <c r="D96" s="665" t="s">
        <v>96</v>
      </c>
      <c r="E96" s="666" t="s">
        <v>937</v>
      </c>
      <c r="F96" s="726" t="s">
        <v>827</v>
      </c>
      <c r="G96" s="728"/>
      <c r="H96" s="1023"/>
      <c r="I96" s="728"/>
      <c r="J96" s="1023"/>
      <c r="K96" s="289"/>
      <c r="X96" s="758">
        <v>0</v>
      </c>
    </row>
    <row s="1635" customFormat="1" customHeight="1" ht="22.5" hidden="1">
      <c r="A97" s="2392"/>
      <c r="B97" s="511" t="s">
        <v>596</v>
      </c>
      <c r="D97" s="665" t="s">
        <v>97</v>
      </c>
      <c r="E97" s="666" t="s">
        <v>938</v>
      </c>
      <c r="F97" s="726" t="s">
        <v>314</v>
      </c>
      <c r="G97" s="385"/>
      <c r="H97" s="1023"/>
      <c r="I97" s="385"/>
      <c r="J97" s="1023"/>
      <c r="K97" s="289" t="s">
        <v>639</v>
      </c>
      <c r="X97" s="758">
        <v>0</v>
      </c>
    </row>
    <row s="1635" customFormat="1" customHeight="1" ht="45" hidden="1">
      <c r="A98" s="2392"/>
      <c r="B98" s="511" t="s">
        <v>596</v>
      </c>
      <c r="D98" s="665" t="s">
        <v>939</v>
      </c>
      <c r="E98" s="667" t="s">
        <v>940</v>
      </c>
      <c r="F98" s="721" t="s">
        <v>314</v>
      </c>
      <c r="G98" s="385"/>
      <c r="H98" s="1023"/>
      <c r="I98" s="385"/>
      <c r="J98" s="1023"/>
      <c r="K98" s="289" t="s">
        <v>639</v>
      </c>
      <c r="X98" s="758">
        <v>0</v>
      </c>
    </row>
    <row s="1635" customFormat="1" customHeight="1" ht="95.25" hidden="1">
      <c r="A99" s="2392"/>
      <c r="B99" s="511" t="s">
        <v>596</v>
      </c>
      <c r="D99" s="665" t="s">
        <v>116</v>
      </c>
      <c r="E99" s="666" t="s">
        <v>941</v>
      </c>
      <c r="F99" s="721" t="s">
        <v>314</v>
      </c>
      <c r="G99" s="385"/>
      <c r="H99" s="1023"/>
      <c r="I99" s="385"/>
      <c r="J99" s="1023"/>
      <c r="K99" s="289" t="s">
        <v>639</v>
      </c>
      <c r="X99" s="758">
        <v>0</v>
      </c>
    </row>
    <row s="1635" customFormat="1" customHeight="1" ht="22.5" hidden="1">
      <c r="A100" s="2392"/>
      <c r="B100" s="511" t="s">
        <v>596</v>
      </c>
      <c r="D100" s="665" t="s">
        <v>152</v>
      </c>
      <c r="E100" s="666" t="s">
        <v>942</v>
      </c>
      <c r="F100" s="721" t="s">
        <v>314</v>
      </c>
      <c r="G100" s="385"/>
      <c r="H100" s="1023"/>
      <c r="I100" s="385"/>
      <c r="J100" s="1023"/>
      <c r="K100" s="289" t="s">
        <v>639</v>
      </c>
      <c r="X100" s="758">
        <v>0</v>
      </c>
    </row>
    <row s="1635" customFormat="1" customHeight="1" ht="11.549999999999999">
      <c r="A101" s="1033"/>
      <c r="B101" s="518"/>
      <c r="D101" s="1034"/>
      <c r="E101" s="1035"/>
      <c r="X101" s="509">
        <v>11</v>
      </c>
    </row>
    <row customHeight="1" ht="22.5" hidden="1">
      <c r="A102" s="536" t="s">
        <v>86</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034602-F3C6-08F8-7091-6657B1E1B53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Показатели, подлежащие раскрытию в сфере теплоснабжения (цены и тарифы)</v>
      </c>
      <c r="E4" s="2120"/>
      <c r="F4" s="2120"/>
      <c r="G4" s="2120"/>
      <c r="H4" s="2120"/>
      <c r="I4" s="2121"/>
      <c r="J4" s="584"/>
      <c r="K4" s="584"/>
      <c r="L4" s="584"/>
      <c r="M4" s="584"/>
      <c r="AM4" s="583">
        <v>34</v>
      </c>
    </row>
    <row s="589" customFormat="1" customHeight="1" ht="14.699999999999998">
      <c r="A5" s="585"/>
      <c r="B5" s="585"/>
      <c r="C5" s="585"/>
      <c r="D5" s="2122" t="str">
        <f>IF(org=0,"Не определено",org)</f>
        <v>ООО "Энерго-Сервис"</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109</v>
      </c>
      <c r="E9" s="2127"/>
      <c r="F9" s="2128" t="s">
        <v>110</v>
      </c>
      <c r="G9" s="2129"/>
      <c r="H9" s="2129"/>
      <c r="I9" s="2129"/>
      <c r="J9" s="2132" t="s">
        <v>111</v>
      </c>
      <c r="K9" s="2132"/>
      <c r="L9" s="2132"/>
      <c r="M9" s="2132"/>
      <c r="AM9" s="583">
        <v>18</v>
      </c>
    </row>
    <row customHeight="1" ht="24">
      <c r="A10" s="2126"/>
      <c r="B10" s="592"/>
      <c r="C10" s="525"/>
      <c r="D10" s="523" t="s">
        <v>92</v>
      </c>
      <c r="E10" s="523" t="s">
        <v>93</v>
      </c>
      <c r="F10" s="523" t="s">
        <v>112</v>
      </c>
      <c r="G10" s="2133" t="s">
        <v>92</v>
      </c>
      <c r="H10" s="2134"/>
      <c r="I10" s="523" t="s">
        <v>93</v>
      </c>
      <c r="J10" s="523" t="s">
        <v>112</v>
      </c>
      <c r="K10" s="2133" t="s">
        <v>92</v>
      </c>
      <c r="L10" s="2134"/>
      <c r="M10" s="523" t="s">
        <v>93</v>
      </c>
      <c r="N10" s="1627"/>
      <c r="AM10" s="583">
        <v>23</v>
      </c>
    </row>
    <row s="1853" customFormat="1" customHeight="1" ht="11.25" hidden="1">
      <c r="A11" s="593"/>
      <c r="B11" s="593"/>
      <c r="C11" s="593"/>
      <c r="D11" s="594" t="s">
        <v>113</v>
      </c>
      <c r="E11" s="594" t="s">
        <v>114</v>
      </c>
      <c r="F11" s="594" t="s">
        <v>94</v>
      </c>
      <c r="G11" s="2115" t="s">
        <v>95</v>
      </c>
      <c r="H11" s="2116"/>
      <c r="I11" s="594" t="s">
        <v>115</v>
      </c>
      <c r="J11" s="594" t="s">
        <v>96</v>
      </c>
      <c r="K11" s="2117" t="s">
        <v>97</v>
      </c>
      <c r="L11" s="2118"/>
      <c r="M11" s="594" t="s">
        <v>116</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117</v>
      </c>
      <c r="P12" s="1413" t="s">
        <v>118</v>
      </c>
      <c r="Q12" s="1413" t="s">
        <v>119</v>
      </c>
      <c r="R12" s="1413" t="s">
        <v>120</v>
      </c>
      <c r="AM12" s="583">
        <v>1</v>
      </c>
    </row>
    <row s="1853" customFormat="1" customHeight="1" ht="15.75">
      <c r="A13" s="293"/>
      <c r="B13" s="293"/>
      <c r="C13" s="526"/>
      <c r="D13" s="2108" t="s">
        <v>113</v>
      </c>
      <c r="E13" s="2109"/>
      <c r="F13" s="2112" t="s">
        <v>70</v>
      </c>
      <c r="G13" s="2113"/>
      <c r="H13" s="2114">
        <v>1</v>
      </c>
      <c r="I13" s="2105" t="str">
        <f>IF(U13="","",INDEX(TERRITORY_MR_LIST,MATCH(U13,TERRITORY_LIST_ID,0)))</f>
        <v/>
      </c>
      <c r="J13" s="2107" t="s">
        <v>19</v>
      </c>
      <c r="K13" s="602"/>
      <c r="L13" s="527" t="s">
        <v>113</v>
      </c>
      <c r="M13" s="603" t="s">
        <v>28</v>
      </c>
      <c r="N13" s="812"/>
      <c r="O13" s="1416" t="s">
        <v>121</v>
      </c>
      <c r="P13" s="1413">
        <f>$E$13</f>
        <v>0</v>
      </c>
      <c r="Q13" s="1413" t="str">
        <f>IF($F$13="нет","без дифференциации",$I$13)</f>
        <v/>
      </c>
      <c r="R13" s="1413" t="str">
        <f>IF($J$13="нет","без дифференциации",M13)</f>
        <v>без дифференциации</v>
      </c>
      <c r="S13" s="1416"/>
      <c r="T13" s="1416"/>
      <c r="U13" s="1266"/>
      <c r="V13" s="1266"/>
      <c r="W13" s="1266"/>
      <c r="X13" s="1266"/>
      <c r="Y13" s="604" t="s">
        <v>122</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106"/>
      <c r="J14" s="2107"/>
      <c r="K14" s="421"/>
      <c r="L14" s="177"/>
      <c r="M14" s="607" t="s">
        <v>123</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124</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125</v>
      </c>
      <c r="F16" s="177"/>
      <c r="G16" s="177"/>
      <c r="H16" s="177"/>
      <c r="I16" s="177"/>
      <c r="J16" s="177"/>
      <c r="K16" s="177" t="s">
        <v>28</v>
      </c>
      <c r="L16" s="177"/>
      <c r="M16" s="608"/>
      <c r="N16" s="1627"/>
      <c r="AM16" s="583">
        <v>15</v>
      </c>
    </row>
    <row customHeight="1" ht="11.25" hidden="1">
      <c r="A17" s="583" t="s">
        <v>86</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1BDCE8-B9BB-625F-E108-E126D2BF0C0B}"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453</v>
      </c>
      <c r="D3" s="689" t="str">
        <f>B3&amp;".1"</f>
        <v>.1</v>
      </c>
      <c r="E3" s="690" t="s">
        <v>943</v>
      </c>
      <c r="F3" s="691" t="s">
        <v>314</v>
      </c>
      <c r="G3" s="686"/>
      <c r="H3" s="401"/>
      <c r="I3" s="686"/>
      <c r="J3" s="401"/>
      <c r="K3" s="289" t="s">
        <v>944</v>
      </c>
      <c r="V3" s="505">
        <v>0</v>
      </c>
    </row>
    <row customHeight="1" ht="15" hidden="1">
      <c r="A4" s="505"/>
      <c r="B4" s="2397"/>
      <c r="C4" s="2398"/>
      <c r="D4" s="689" t="str">
        <f>B3&amp;".2"</f>
        <v>.2</v>
      </c>
      <c r="E4" s="690" t="s">
        <v>945</v>
      </c>
      <c r="F4" s="691" t="s">
        <v>314</v>
      </c>
      <c r="G4" s="1738" t="s">
        <v>28</v>
      </c>
      <c r="H4" s="401"/>
      <c r="I4" s="1738" t="s">
        <v>28</v>
      </c>
      <c r="J4" s="401"/>
      <c r="K4" s="289" t="s">
        <v>946</v>
      </c>
      <c r="V4" s="505">
        <v>0</v>
      </c>
    </row>
    <row s="1366" customFormat="1" customHeight="1" ht="15" hidden="1">
      <c r="C5" s="672"/>
      <c r="U5" s="420"/>
      <c r="V5" s="417">
        <v>0</v>
      </c>
    </row>
    <row customHeight="1" ht="22.5" hidden="1">
      <c r="A6" s="505"/>
      <c r="B6" s="2397"/>
      <c r="C6" s="2398" t="s">
        <v>453</v>
      </c>
      <c r="D6" s="689" t="str">
        <f>B6&amp;".1"</f>
        <v>.1</v>
      </c>
      <c r="E6" s="690" t="s">
        <v>947</v>
      </c>
      <c r="F6" s="691" t="s">
        <v>314</v>
      </c>
      <c r="G6" s="686"/>
      <c r="H6" s="401"/>
      <c r="I6" s="686"/>
      <c r="J6" s="401"/>
      <c r="K6" s="289" t="s">
        <v>948</v>
      </c>
      <c r="V6" s="505">
        <v>0</v>
      </c>
    </row>
    <row customHeight="1" ht="15" hidden="1">
      <c r="A7" s="505"/>
      <c r="B7" s="2397"/>
      <c r="C7" s="2398"/>
      <c r="D7" s="689" t="str">
        <f>B6&amp;".2"</f>
        <v>.2</v>
      </c>
      <c r="E7" s="690" t="s">
        <v>945</v>
      </c>
      <c r="F7" s="691" t="s">
        <v>314</v>
      </c>
      <c r="G7" s="1738" t="s">
        <v>28</v>
      </c>
      <c r="H7" s="401"/>
      <c r="I7" s="1738" t="s">
        <v>28</v>
      </c>
      <c r="J7" s="401"/>
      <c r="K7" s="289" t="s">
        <v>946</v>
      </c>
      <c r="V7" s="505">
        <v>0</v>
      </c>
    </row>
    <row s="1366" customFormat="1" customHeight="1" ht="15" hidden="1">
      <c r="C8" s="672"/>
      <c r="U8" s="420"/>
      <c r="V8" s="417">
        <v>0</v>
      </c>
    </row>
    <row customHeight="1" ht="22.5" hidden="1">
      <c r="A9" s="505"/>
      <c r="B9" s="2397"/>
      <c r="C9" s="2398" t="s">
        <v>453</v>
      </c>
      <c r="D9" s="689" t="str">
        <f>B9&amp;".1"</f>
        <v>.1</v>
      </c>
      <c r="E9" s="690" t="s">
        <v>949</v>
      </c>
      <c r="F9" s="691" t="s">
        <v>314</v>
      </c>
      <c r="G9" s="697" t="s">
        <v>28</v>
      </c>
      <c r="H9" s="401" t="s">
        <v>28</v>
      </c>
      <c r="I9" s="697" t="s">
        <v>28</v>
      </c>
      <c r="J9" s="401" t="s">
        <v>28</v>
      </c>
      <c r="K9" s="289"/>
      <c r="V9" s="505">
        <v>0</v>
      </c>
    </row>
    <row customHeight="1" ht="15" hidden="1">
      <c r="A10" s="505"/>
      <c r="B10" s="2397"/>
      <c r="C10" s="2398"/>
      <c r="D10" s="689" t="str">
        <f>B9&amp;".2"</f>
        <v>.2</v>
      </c>
      <c r="E10" s="690" t="s">
        <v>950</v>
      </c>
      <c r="F10" s="691" t="s">
        <v>314</v>
      </c>
      <c r="G10" s="1732" t="s">
        <v>28</v>
      </c>
      <c r="H10" s="401" t="s">
        <v>28</v>
      </c>
      <c r="I10" s="1732" t="s">
        <v>28</v>
      </c>
      <c r="J10" s="401" t="s">
        <v>28</v>
      </c>
      <c r="K10" s="289" t="s">
        <v>951</v>
      </c>
      <c r="V10" s="505">
        <v>0</v>
      </c>
    </row>
    <row customHeight="1" ht="15" hidden="1">
      <c r="A11" s="505"/>
      <c r="B11" s="2397"/>
      <c r="C11" s="2398"/>
      <c r="D11" s="689" t="str">
        <f>B9&amp;".3"</f>
        <v>.3</v>
      </c>
      <c r="E11" s="690" t="s">
        <v>952</v>
      </c>
      <c r="F11" s="691" t="s">
        <v>314</v>
      </c>
      <c r="G11" s="1732" t="s">
        <v>28</v>
      </c>
      <c r="H11" s="401" t="s">
        <v>28</v>
      </c>
      <c r="I11" s="1732" t="s">
        <v>28</v>
      </c>
      <c r="J11" s="401" t="s">
        <v>28</v>
      </c>
      <c r="K11" s="289" t="s">
        <v>953</v>
      </c>
      <c r="V11" s="505">
        <v>0</v>
      </c>
    </row>
    <row s="1366" customFormat="1" customHeight="1" ht="15" hidden="1">
      <c r="C12" s="672"/>
      <c r="U12" s="420"/>
      <c r="V12" s="417">
        <v>0</v>
      </c>
    </row>
    <row customHeight="1" ht="33.75" hidden="1">
      <c r="A13" s="505"/>
      <c r="B13" s="2397"/>
      <c r="C13" s="2398" t="s">
        <v>453</v>
      </c>
      <c r="D13" s="689" t="str">
        <f>B13&amp;".1"</f>
        <v>.1</v>
      </c>
      <c r="E13" s="690" t="s">
        <v>954</v>
      </c>
      <c r="F13" s="691" t="s">
        <v>314</v>
      </c>
      <c r="G13" s="697" t="s">
        <v>28</v>
      </c>
      <c r="H13" s="401" t="s">
        <v>28</v>
      </c>
      <c r="I13" s="697" t="s">
        <v>28</v>
      </c>
      <c r="J13" s="401" t="s">
        <v>28</v>
      </c>
      <c r="K13" s="289" t="s">
        <v>955</v>
      </c>
      <c r="V13" s="505">
        <v>0</v>
      </c>
    </row>
    <row customHeight="1" ht="15" hidden="1">
      <c r="B14" s="2397"/>
      <c r="C14" s="2398"/>
      <c r="D14" s="689" t="str">
        <f>B13&amp;".2"</f>
        <v>.2</v>
      </c>
      <c r="E14" s="690" t="s">
        <v>956</v>
      </c>
      <c r="F14" s="691" t="s">
        <v>314</v>
      </c>
      <c r="G14" s="1732" t="s">
        <v>28</v>
      </c>
      <c r="H14" s="401" t="s">
        <v>28</v>
      </c>
      <c r="I14" s="1732" t="s">
        <v>28</v>
      </c>
      <c r="J14" s="401" t="s">
        <v>28</v>
      </c>
      <c r="K14" s="289" t="s">
        <v>957</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7"/>
      <c r="F22" s="2237"/>
      <c r="G22" s="2237"/>
      <c r="H22" s="2237"/>
      <c r="I22" s="2237"/>
      <c r="J22" s="676"/>
      <c r="K22" s="537"/>
      <c r="V22" s="505">
        <v>22</v>
      </c>
    </row>
    <row customHeight="1" ht="15.75">
      <c r="C23" s="176"/>
      <c r="D23" s="2176" t="str">
        <f>IF(org=0,"Не определено",org)</f>
        <v>ООО "Энерго-Сервис"</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121</v>
      </c>
      <c r="J25" s="752"/>
      <c r="K25" s="417"/>
      <c r="U25" s="675"/>
      <c r="V25" s="758">
        <v>1</v>
      </c>
    </row>
    <row customHeight="1" ht="15.75">
      <c r="C26" s="176"/>
      <c r="D26" s="711"/>
      <c r="E26" s="2367" t="s">
        <v>109</v>
      </c>
      <c r="F26" s="2368"/>
      <c r="G26" s="2395" t="str">
        <f>IF(G25="","",INDEX(DIFFERENTIATION_UNMERGE_VD,MATCH(G25,DIFFERENTIATION_ID_DIFF,0)))</f>
        <v/>
      </c>
      <c r="H26" s="2396"/>
      <c r="I26" s="2395">
        <f>IF(I25="","",INDEX(DIFFERENTIATION_UNMERGE_VD,MATCH(I25,DIFFERENTIATION_ID_DIFF,0)))</f>
        <v>0</v>
      </c>
      <c r="J26" s="2396"/>
      <c r="K26" s="2175" t="s">
        <v>309</v>
      </c>
      <c r="V26" s="505">
        <v>15</v>
      </c>
    </row>
    <row s="1635" customFormat="1" customHeight="1" ht="15.75">
      <c r="A27" s="759"/>
      <c r="C27" s="176"/>
      <c r="D27" s="711"/>
      <c r="E27" s="2367" t="s">
        <v>572</v>
      </c>
      <c r="F27" s="2368"/>
      <c r="G27" s="2395" t="str">
        <f>IF(G25="","",INDEX(DIFFERENTIATION_UNMERGE_AREA,MATCH(G25,DIFFERENTIATION_ID_DIFF,0)))</f>
        <v/>
      </c>
      <c r="H27" s="2396"/>
      <c r="I27" s="2395" t="str">
        <f>IF(I25="","",INDEX(DIFFERENTIATION_UNMERGE_AREA,MATCH(I25,DIFFERENTIATION_ID_DIFF,0)))</f>
        <v/>
      </c>
      <c r="J27" s="2396"/>
      <c r="K27" s="2195"/>
      <c r="U27" s="675"/>
      <c r="V27" s="758">
        <v>15</v>
      </c>
    </row>
    <row s="1635" customFormat="1" customHeight="1" ht="15.75">
      <c r="A28" s="759"/>
      <c r="C28" s="176"/>
      <c r="D28" s="711"/>
      <c r="E28" s="2367" t="s">
        <v>573</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195"/>
      <c r="U28" s="675"/>
      <c r="V28" s="758">
        <v>15</v>
      </c>
    </row>
    <row s="1635" customFormat="1" customHeight="1" ht="15.75">
      <c r="A29" s="759"/>
      <c r="C29" s="176"/>
      <c r="D29" s="2369" t="s">
        <v>308</v>
      </c>
      <c r="E29" s="2370"/>
      <c r="F29" s="2370"/>
      <c r="G29" s="887"/>
      <c r="H29" s="887"/>
      <c r="I29" s="887"/>
      <c r="J29" s="888"/>
      <c r="K29" s="2195"/>
      <c r="U29" s="675"/>
      <c r="V29" s="758">
        <v>15</v>
      </c>
    </row>
    <row customHeight="1" ht="35.699999999999996">
      <c r="C30" s="176"/>
      <c r="D30" s="761" t="s">
        <v>92</v>
      </c>
      <c r="E30" s="760" t="s">
        <v>310</v>
      </c>
      <c r="F30" s="760" t="s">
        <v>574</v>
      </c>
      <c r="G30" s="808" t="s">
        <v>311</v>
      </c>
      <c r="H30" s="807" t="s">
        <v>398</v>
      </c>
      <c r="I30" s="684" t="s">
        <v>311</v>
      </c>
      <c r="J30" s="465" t="s">
        <v>398</v>
      </c>
      <c r="K30" s="2201"/>
      <c r="V30" s="505">
        <v>34</v>
      </c>
    </row>
    <row customHeight="1" ht="15" hidden="1">
      <c r="C31" s="176"/>
      <c r="D31" s="593"/>
      <c r="E31" s="593"/>
      <c r="F31" s="593"/>
      <c r="G31" s="659"/>
      <c r="H31" s="659"/>
      <c r="I31" s="659"/>
      <c r="J31" s="659"/>
      <c r="K31" s="289"/>
      <c r="V31" s="505">
        <v>0</v>
      </c>
    </row>
    <row customHeight="1" ht="24">
      <c r="A32" s="505"/>
      <c r="B32" s="505" t="s">
        <v>958</v>
      </c>
      <c r="C32" s="526"/>
      <c r="D32" s="692">
        <v>1</v>
      </c>
      <c r="E32" s="693" t="s">
        <v>959</v>
      </c>
      <c r="F32" s="691" t="s">
        <v>314</v>
      </c>
      <c r="G32" s="813" t="s">
        <v>314</v>
      </c>
      <c r="H32" s="813" t="s">
        <v>314</v>
      </c>
      <c r="I32" s="691" t="s">
        <v>314</v>
      </c>
      <c r="J32" s="691" t="s">
        <v>314</v>
      </c>
      <c r="K32" s="289"/>
      <c r="V32" s="505">
        <v>23</v>
      </c>
    </row>
    <row customHeight="1" ht="11.549999999999999">
      <c r="A33" s="505"/>
      <c r="C33" s="505"/>
      <c r="D33" s="347"/>
      <c r="E33" s="580" t="s">
        <v>594</v>
      </c>
      <c r="F33" s="572"/>
      <c r="G33" s="572"/>
      <c r="H33" s="572"/>
      <c r="I33" s="572"/>
      <c r="J33" s="572"/>
      <c r="K33" s="573"/>
      <c r="U33" s="505"/>
      <c r="V33" s="505">
        <v>11</v>
      </c>
    </row>
    <row customHeight="1" ht="24">
      <c r="A34" s="505"/>
      <c r="B34" s="581" t="s">
        <v>644</v>
      </c>
      <c r="C34" s="526"/>
      <c r="D34" s="692">
        <v>2</v>
      </c>
      <c r="E34" s="693" t="s">
        <v>960</v>
      </c>
      <c r="F34" s="820" t="s">
        <v>314</v>
      </c>
      <c r="G34" s="820" t="s">
        <v>314</v>
      </c>
      <c r="H34" s="820" t="s">
        <v>314</v>
      </c>
      <c r="I34" s="691"/>
      <c r="J34" s="691"/>
      <c r="K34" s="289"/>
      <c r="V34" s="505">
        <v>23</v>
      </c>
    </row>
    <row customHeight="1" ht="11.549999999999999">
      <c r="A35" s="505"/>
      <c r="C35" s="505"/>
      <c r="D35" s="347"/>
      <c r="E35" s="580" t="s">
        <v>961</v>
      </c>
      <c r="F35" s="572"/>
      <c r="G35" s="694"/>
      <c r="H35" s="572"/>
      <c r="I35" s="694"/>
      <c r="J35" s="572"/>
      <c r="K35" s="573"/>
      <c r="U35" s="505"/>
      <c r="V35" s="505">
        <v>11</v>
      </c>
    </row>
    <row customHeight="1" ht="71.25">
      <c r="A36" s="505"/>
      <c r="B36" s="505" t="s">
        <v>962</v>
      </c>
      <c r="C36" s="526"/>
      <c r="D36" s="692">
        <v>3</v>
      </c>
      <c r="E36" s="693" t="s">
        <v>963</v>
      </c>
      <c r="F36" s="695" t="s">
        <v>314</v>
      </c>
      <c r="G36" s="814" t="s">
        <v>964</v>
      </c>
      <c r="H36" s="813" t="s">
        <v>314</v>
      </c>
      <c r="I36" s="524" t="s">
        <v>964</v>
      </c>
      <c r="J36" s="691" t="s">
        <v>314</v>
      </c>
      <c r="K36" s="289" t="s">
        <v>965</v>
      </c>
      <c r="V36" s="505">
        <v>68</v>
      </c>
    </row>
    <row customHeight="1" ht="11.549999999999999">
      <c r="A37" s="505"/>
      <c r="C37" s="505"/>
      <c r="D37" s="347"/>
      <c r="E37" s="580" t="s">
        <v>966</v>
      </c>
      <c r="F37" s="572"/>
      <c r="G37" s="694"/>
      <c r="H37" s="694"/>
      <c r="I37" s="694"/>
      <c r="J37" s="694"/>
      <c r="K37" s="573"/>
      <c r="U37" s="505"/>
      <c r="V37" s="505">
        <v>11</v>
      </c>
    </row>
    <row customHeight="1" ht="71.25">
      <c r="A38" s="505"/>
      <c r="B38" s="505" t="s">
        <v>967</v>
      </c>
      <c r="C38" s="526"/>
      <c r="D38" s="692">
        <v>4</v>
      </c>
      <c r="E38" s="693" t="s">
        <v>968</v>
      </c>
      <c r="F38" s="695" t="s">
        <v>314</v>
      </c>
      <c r="G38" s="814" t="s">
        <v>964</v>
      </c>
      <c r="H38" s="815" t="s">
        <v>314</v>
      </c>
      <c r="I38" s="524" t="s">
        <v>964</v>
      </c>
      <c r="J38" s="521" t="s">
        <v>314</v>
      </c>
      <c r="K38" s="679" t="s">
        <v>969</v>
      </c>
      <c r="V38" s="505">
        <v>68</v>
      </c>
    </row>
    <row customHeight="1" ht="11.549999999999999">
      <c r="A39" s="505"/>
      <c r="C39" s="505"/>
      <c r="D39" s="347"/>
      <c r="E39" s="580" t="s">
        <v>970</v>
      </c>
      <c r="F39" s="572"/>
      <c r="G39" s="572"/>
      <c r="H39" s="696"/>
      <c r="I39" s="572"/>
      <c r="J39" s="696"/>
      <c r="K39" s="573"/>
      <c r="U39" s="505"/>
      <c r="V39" s="505">
        <v>11</v>
      </c>
    </row>
    <row customHeight="1" ht="22.5" hidden="1">
      <c r="A40" s="449" t="s">
        <v>86</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3683F9-0528-9B95-BAD3-86AD0EB6180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971</v>
      </c>
      <c r="H3" s="1156"/>
      <c r="AE3" s="759">
        <v>0</v>
      </c>
    </row>
    <row customHeight="1" ht="3">
      <c r="AE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M5" s="582"/>
      <c r="AB5" s="906"/>
      <c r="AE5" s="758">
        <v>26</v>
      </c>
    </row>
    <row s="1635" customFormat="1" customHeight="1" ht="16.8">
      <c r="A6" s="1166"/>
      <c r="B6" s="1166"/>
      <c r="C6" s="1166"/>
      <c r="D6" s="1160"/>
      <c r="E6" s="1635"/>
      <c r="F6" s="2249" t="str">
        <f>IF(org=0,"Не определено",org)</f>
        <v>ООО "Энерго-Сервис"</v>
      </c>
      <c r="G6" s="2249"/>
      <c r="H6" s="2249"/>
      <c r="I6" s="2249"/>
      <c r="J6" s="2249"/>
      <c r="K6" s="2249"/>
      <c r="M6" s="582"/>
      <c r="AB6" s="1148"/>
      <c r="AE6" s="1631">
        <v>16</v>
      </c>
    </row>
    <row customHeight="1" ht="10.5">
      <c r="AE7" s="758">
        <v>10</v>
      </c>
    </row>
    <row customHeight="1" ht="10.5">
      <c r="A8" s="1051"/>
      <c r="B8" s="1051"/>
      <c r="C8" s="1051"/>
      <c r="F8" s="2101" t="s">
        <v>308</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92</v>
      </c>
      <c r="G9" s="2127" t="s">
        <v>971</v>
      </c>
      <c r="H9" s="2175" t="s">
        <v>972</v>
      </c>
      <c r="I9" s="2127" t="s">
        <v>973</v>
      </c>
      <c r="J9" s="2127" t="s">
        <v>974</v>
      </c>
      <c r="K9" s="2127" t="s">
        <v>975</v>
      </c>
      <c r="L9" s="2127" t="s">
        <v>976</v>
      </c>
      <c r="M9" s="2127" t="s">
        <v>977</v>
      </c>
      <c r="N9" s="2209" t="s">
        <v>978</v>
      </c>
      <c r="O9" s="2209"/>
      <c r="P9" s="2209"/>
      <c r="Q9" s="2399" t="s">
        <v>979</v>
      </c>
      <c r="R9" s="2400"/>
      <c r="S9" s="2400"/>
      <c r="T9" s="2401"/>
      <c r="U9" s="2399" t="s">
        <v>980</v>
      </c>
      <c r="V9" s="2400"/>
      <c r="W9" s="2400"/>
      <c r="X9" s="2401"/>
      <c r="Y9" s="2101" t="s">
        <v>981</v>
      </c>
      <c r="Z9" s="2102"/>
      <c r="AA9" s="2102"/>
      <c r="AB9" s="2103"/>
      <c r="AE9" s="758">
        <v>41</v>
      </c>
    </row>
    <row customHeight="1" ht="43.050000000000004">
      <c r="A10" s="905"/>
      <c r="B10" s="905"/>
      <c r="C10" s="905"/>
      <c r="F10" s="2175"/>
      <c r="G10" s="2175"/>
      <c r="H10" s="2232"/>
      <c r="I10" s="2175"/>
      <c r="J10" s="2175"/>
      <c r="K10" s="2175"/>
      <c r="L10" s="2175"/>
      <c r="M10" s="2175"/>
      <c r="N10" s="903" t="s">
        <v>982</v>
      </c>
      <c r="O10" s="903" t="s">
        <v>983</v>
      </c>
      <c r="P10" s="904" t="s">
        <v>984</v>
      </c>
      <c r="Q10" s="915" t="s">
        <v>93</v>
      </c>
      <c r="R10" s="915" t="s">
        <v>985</v>
      </c>
      <c r="S10" s="915" t="s">
        <v>986</v>
      </c>
      <c r="T10" s="916" t="s">
        <v>987</v>
      </c>
      <c r="U10" s="915" t="s">
        <v>93</v>
      </c>
      <c r="V10" s="915" t="s">
        <v>988</v>
      </c>
      <c r="W10" s="915" t="s">
        <v>986</v>
      </c>
      <c r="X10" s="916" t="s">
        <v>987</v>
      </c>
      <c r="Y10" s="301" t="s">
        <v>989</v>
      </c>
      <c r="Z10" s="2101" t="s">
        <v>92</v>
      </c>
      <c r="AA10" s="2103"/>
      <c r="AB10" s="1049" t="s">
        <v>990</v>
      </c>
      <c r="AE10" s="758">
        <v>41</v>
      </c>
    </row>
    <row s="1642" customFormat="1" customHeight="1" ht="5.25" hidden="1">
      <c r="A11" s="1052"/>
      <c r="B11" s="1052"/>
      <c r="C11" s="1052"/>
      <c r="E11" s="1050"/>
      <c r="F11" s="2406" t="s">
        <v>384</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991</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992</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86</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2BDE37-877C-A8F8-3C93-9C75EB25847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L5" s="1135"/>
      <c r="M5" s="1135"/>
      <c r="AG5" s="906"/>
      <c r="AH5" s="1148"/>
      <c r="BG5" s="758">
        <v>26</v>
      </c>
    </row>
    <row customHeight="1" ht="10.5">
      <c r="F6" s="2176" t="str">
        <f>IF(org=0,"Не определено",org)</f>
        <v>ООО "Энерго-Сервис"</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308</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993</v>
      </c>
      <c r="G9" s="2409" t="s">
        <v>994</v>
      </c>
      <c r="H9" s="2410"/>
      <c r="I9" s="2127" t="s">
        <v>995</v>
      </c>
      <c r="J9" s="2127"/>
      <c r="K9" s="2127" t="s">
        <v>996</v>
      </c>
      <c r="L9" s="2127"/>
      <c r="M9" s="2127"/>
      <c r="N9" s="2127"/>
      <c r="O9" s="2127"/>
      <c r="P9" s="2127"/>
      <c r="Q9" s="2127"/>
      <c r="R9" s="2127"/>
      <c r="S9" s="2127"/>
      <c r="T9" s="2127"/>
      <c r="U9" s="2127"/>
      <c r="V9" s="2127"/>
      <c r="W9" s="2127"/>
      <c r="X9" s="2127"/>
      <c r="Y9" s="2127"/>
      <c r="Z9" s="2192" t="s">
        <v>997</v>
      </c>
      <c r="AA9" s="2193"/>
      <c r="AB9" s="2127" t="s">
        <v>998</v>
      </c>
      <c r="AC9" s="2127"/>
      <c r="AD9" s="2127"/>
      <c r="AE9" s="2127"/>
      <c r="AF9" s="2175" t="s">
        <v>999</v>
      </c>
      <c r="AG9" s="2127" t="s">
        <v>1000</v>
      </c>
      <c r="AH9" s="2127"/>
      <c r="AI9" s="2175" t="s">
        <v>1001</v>
      </c>
      <c r="AJ9" s="2127" t="s">
        <v>1002</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1003</v>
      </c>
      <c r="L10" s="2101" t="s">
        <v>1004</v>
      </c>
      <c r="M10" s="2103"/>
      <c r="N10" s="2127" t="s">
        <v>1005</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1006</v>
      </c>
      <c r="M11" s="2175" t="s">
        <v>1007</v>
      </c>
      <c r="N11" s="2127" t="s">
        <v>1008</v>
      </c>
      <c r="O11" s="2127"/>
      <c r="P11" s="2418" t="s">
        <v>989</v>
      </c>
      <c r="Q11" s="2418" t="s">
        <v>1009</v>
      </c>
      <c r="R11" s="2418" t="s">
        <v>1010</v>
      </c>
      <c r="S11" s="2418" t="s">
        <v>1011</v>
      </c>
      <c r="T11" s="2418"/>
      <c r="U11" s="2418"/>
      <c r="V11" s="2418"/>
      <c r="W11" s="2418"/>
      <c r="X11" s="2418"/>
      <c r="Y11" s="2418"/>
      <c r="Z11" s="2194"/>
      <c r="AA11" s="2195"/>
      <c r="AB11" s="2127" t="s">
        <v>1012</v>
      </c>
      <c r="AC11" s="2127"/>
      <c r="AD11" s="2101" t="s">
        <v>1013</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93</v>
      </c>
      <c r="J12" s="1153" t="s">
        <v>1014</v>
      </c>
      <c r="K12" s="2127"/>
      <c r="L12" s="2232"/>
      <c r="M12" s="2232"/>
      <c r="N12" s="2127"/>
      <c r="O12" s="2127"/>
      <c r="P12" s="2418"/>
      <c r="Q12" s="2418"/>
      <c r="R12" s="2418"/>
      <c r="S12" s="1134" t="s">
        <v>90</v>
      </c>
      <c r="T12" s="1134" t="s">
        <v>91</v>
      </c>
      <c r="U12" s="1134" t="s">
        <v>89</v>
      </c>
      <c r="V12" s="1134" t="s">
        <v>1015</v>
      </c>
      <c r="W12" s="1134" t="s">
        <v>89</v>
      </c>
      <c r="X12" s="1134" t="s">
        <v>1016</v>
      </c>
      <c r="Y12" s="1134" t="s">
        <v>1017</v>
      </c>
      <c r="Z12" s="2200"/>
      <c r="AA12" s="2201"/>
      <c r="AB12" s="1141" t="s">
        <v>1018</v>
      </c>
      <c r="AC12" s="1141" t="s">
        <v>1019</v>
      </c>
      <c r="AD12" s="1141" t="s">
        <v>1018</v>
      </c>
      <c r="AE12" s="1141" t="s">
        <v>1019</v>
      </c>
      <c r="AF12" s="2232"/>
      <c r="AG12" s="1154" t="s">
        <v>1020</v>
      </c>
      <c r="AH12" s="1154" t="s">
        <v>1021</v>
      </c>
      <c r="AI12" s="2232"/>
      <c r="AJ12" s="1154" t="s">
        <v>1020</v>
      </c>
      <c r="AK12" s="1154" t="s">
        <v>1021</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1022</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86</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5AEA28-3528-0902-CAF8-ED715ECCFC8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8"/>
      <c r="H5" s="2248"/>
      <c r="I5" s="2248"/>
      <c r="J5" s="2248"/>
      <c r="W5" s="1155">
        <v>26</v>
      </c>
    </row>
    <row customHeight="1" ht="10.5">
      <c r="F6" s="2176" t="str">
        <f>IF(org=0,"Не определено",org)</f>
        <v>ООО "Энерго-Сервис"</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308</v>
      </c>
      <c r="G9" s="2420"/>
      <c r="H9" s="2420"/>
      <c r="I9" s="2420"/>
      <c r="J9" s="2420"/>
      <c r="K9" s="1240"/>
      <c r="L9" s="1157"/>
      <c r="M9" s="1157"/>
      <c r="N9" s="1157"/>
      <c r="O9" s="1157"/>
      <c r="P9" s="1157"/>
      <c r="Q9" s="1157"/>
      <c r="R9" s="1157"/>
      <c r="S9" s="1157"/>
      <c r="T9" s="1157"/>
      <c r="U9" s="1157"/>
      <c r="V9" s="1157"/>
      <c r="W9" s="1155">
        <v>10</v>
      </c>
    </row>
    <row customHeight="1" ht="25.2">
      <c r="E10" s="1157"/>
      <c r="F10" s="2423" t="s">
        <v>92</v>
      </c>
      <c r="G10" s="2428" t="s">
        <v>1023</v>
      </c>
      <c r="H10" s="2426" t="s">
        <v>1024</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1025</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1026</v>
      </c>
      <c r="G14" s="2421" t="s">
        <v>1027</v>
      </c>
      <c r="H14" s="2421"/>
      <c r="I14" s="2421"/>
      <c r="J14" s="2421"/>
      <c r="K14" s="1234"/>
      <c r="W14" s="1155">
        <v>11</v>
      </c>
    </row>
    <row customHeight="1" ht="11.549999999999999">
      <c r="F15" s="1230">
        <v>1</v>
      </c>
      <c r="G15" s="690" t="s">
        <v>1028</v>
      </c>
      <c r="H15" s="1236">
        <f>SUM(I15:J15)</f>
        <v>0</v>
      </c>
      <c r="I15" s="1236">
        <f>SUM(I16:I27)</f>
        <v>0</v>
      </c>
      <c r="J15" s="1225"/>
      <c r="K15" s="1234"/>
      <c r="W15" s="1155">
        <v>11</v>
      </c>
    </row>
    <row customHeight="1" ht="24">
      <c r="F16" s="1230" t="s">
        <v>1029</v>
      </c>
      <c r="G16" s="1237" t="s">
        <v>1030</v>
      </c>
      <c r="H16" s="1236">
        <f>SUM(I16:J16)</f>
        <v>0</v>
      </c>
      <c r="I16" s="1235"/>
      <c r="J16" s="1225"/>
      <c r="K16" s="1234"/>
      <c r="W16" s="1155">
        <v>23</v>
      </c>
    </row>
    <row customHeight="1" ht="24">
      <c r="F17" s="1230" t="s">
        <v>1031</v>
      </c>
      <c r="G17" s="1237" t="s">
        <v>1032</v>
      </c>
      <c r="H17" s="1236">
        <f>SUM(I17:J17)</f>
        <v>0</v>
      </c>
      <c r="I17" s="1235"/>
      <c r="J17" s="1225"/>
      <c r="K17" s="1234"/>
      <c r="W17" s="1155">
        <v>23</v>
      </c>
    </row>
    <row customHeight="1" ht="35.699999999999996">
      <c r="F18" s="1230" t="s">
        <v>1033</v>
      </c>
      <c r="G18" s="1237" t="s">
        <v>1034</v>
      </c>
      <c r="H18" s="1236">
        <f>SUM(I18:J18)</f>
        <v>0</v>
      </c>
      <c r="I18" s="1235"/>
      <c r="J18" s="1225"/>
      <c r="K18" s="1234"/>
      <c r="W18" s="1155">
        <v>34</v>
      </c>
    </row>
    <row customHeight="1" ht="35.699999999999996">
      <c r="F19" s="1230" t="s">
        <v>1035</v>
      </c>
      <c r="G19" s="1237" t="s">
        <v>1036</v>
      </c>
      <c r="H19" s="1236">
        <f>SUM(I19:J19)</f>
        <v>0</v>
      </c>
      <c r="I19" s="1235"/>
      <c r="J19" s="1225"/>
      <c r="K19" s="1234"/>
      <c r="W19" s="1155">
        <v>34</v>
      </c>
    </row>
    <row customHeight="1" ht="48.29999999999999">
      <c r="F20" s="1230" t="s">
        <v>1037</v>
      </c>
      <c r="G20" s="1237" t="s">
        <v>1038</v>
      </c>
      <c r="H20" s="1236">
        <f>SUM(I20:J20)</f>
        <v>0</v>
      </c>
      <c r="I20" s="1235"/>
      <c r="J20" s="1225"/>
      <c r="K20" s="1234"/>
      <c r="W20" s="1155">
        <v>46</v>
      </c>
    </row>
    <row customHeight="1" ht="35.699999999999996">
      <c r="F21" s="1230" t="s">
        <v>1039</v>
      </c>
      <c r="G21" s="1237" t="s">
        <v>1040</v>
      </c>
      <c r="H21" s="1236">
        <f>SUM(I21:J21)</f>
        <v>0</v>
      </c>
      <c r="I21" s="1235"/>
      <c r="J21" s="1225"/>
      <c r="K21" s="1234"/>
      <c r="W21" s="1155">
        <v>34</v>
      </c>
    </row>
    <row customHeight="1" ht="35.699999999999996">
      <c r="F22" s="1230" t="s">
        <v>1041</v>
      </c>
      <c r="G22" s="1237" t="s">
        <v>1042</v>
      </c>
      <c r="H22" s="1236">
        <f>SUM(I22:J22)</f>
        <v>0</v>
      </c>
      <c r="I22" s="1235"/>
      <c r="J22" s="1225"/>
      <c r="K22" s="1234"/>
      <c r="W22" s="1155">
        <v>34</v>
      </c>
    </row>
    <row customHeight="1" ht="24">
      <c r="F23" s="1230" t="s">
        <v>1043</v>
      </c>
      <c r="G23" s="1237" t="s">
        <v>1044</v>
      </c>
      <c r="H23" s="1236">
        <f>SUM(I23:J23)</f>
        <v>0</v>
      </c>
      <c r="I23" s="1235"/>
      <c r="J23" s="1225"/>
      <c r="K23" s="1234"/>
      <c r="W23" s="1155">
        <v>23</v>
      </c>
    </row>
    <row customHeight="1" ht="24">
      <c r="F24" s="1230" t="s">
        <v>1045</v>
      </c>
      <c r="G24" s="1237" t="s">
        <v>1046</v>
      </c>
      <c r="H24" s="1236">
        <f>SUM(I24:J24)</f>
        <v>0</v>
      </c>
      <c r="I24" s="1235"/>
      <c r="J24" s="1225"/>
      <c r="K24" s="1234"/>
      <c r="W24" s="1155">
        <v>23</v>
      </c>
    </row>
    <row customHeight="1" ht="35.699999999999996">
      <c r="F25" s="1230" t="s">
        <v>1047</v>
      </c>
      <c r="G25" s="1237" t="s">
        <v>1048</v>
      </c>
      <c r="H25" s="1236">
        <f>SUM(I25:J25)</f>
        <v>0</v>
      </c>
      <c r="I25" s="1235"/>
      <c r="J25" s="1225"/>
      <c r="K25" s="1234"/>
      <c r="W25" s="1155">
        <v>34</v>
      </c>
    </row>
    <row customHeight="1" ht="35.699999999999996">
      <c r="F26" s="1230" t="s">
        <v>1049</v>
      </c>
      <c r="G26" s="1237" t="s">
        <v>1050</v>
      </c>
      <c r="H26" s="1236">
        <f>SUM(I26:J26)</f>
        <v>0</v>
      </c>
      <c r="I26" s="1235"/>
      <c r="J26" s="1225"/>
      <c r="K26" s="1234"/>
      <c r="W26" s="1155">
        <v>34</v>
      </c>
    </row>
    <row customHeight="1" ht="11.549999999999999">
      <c r="F27" s="1230" t="s">
        <v>1051</v>
      </c>
      <c r="G27" s="1237" t="s">
        <v>1052</v>
      </c>
      <c r="H27" s="1236">
        <f>SUM(I27:J27)</f>
        <v>0</v>
      </c>
      <c r="I27" s="1235"/>
      <c r="J27" s="1225"/>
      <c r="K27" s="1234"/>
      <c r="W27" s="1155">
        <v>11</v>
      </c>
    </row>
    <row customHeight="1" ht="11.549999999999999">
      <c r="F28" s="1230">
        <v>2</v>
      </c>
      <c r="G28" s="690" t="s">
        <v>1053</v>
      </c>
      <c r="H28" s="1236">
        <f>SUM(I28:J28)</f>
        <v>0</v>
      </c>
      <c r="I28" s="1236">
        <f>SUM(I29:I31)</f>
        <v>0</v>
      </c>
      <c r="J28" s="1225"/>
      <c r="K28" s="1234"/>
      <c r="W28" s="1155">
        <v>11</v>
      </c>
    </row>
    <row customHeight="1" ht="11.549999999999999">
      <c r="F29" s="1230" t="s">
        <v>716</v>
      </c>
      <c r="G29" s="1237" t="s">
        <v>1054</v>
      </c>
      <c r="H29" s="1236">
        <f>SUM(I29:J29)</f>
        <v>0</v>
      </c>
      <c r="I29" s="1235"/>
      <c r="J29" s="1225"/>
      <c r="K29" s="1234"/>
      <c r="W29" s="1155">
        <v>11</v>
      </c>
    </row>
    <row customHeight="1" ht="11.549999999999999">
      <c r="F30" s="1230" t="s">
        <v>315</v>
      </c>
      <c r="G30" s="1237" t="s">
        <v>1055</v>
      </c>
      <c r="H30" s="1236">
        <f>SUM(I30:J30)</f>
        <v>0</v>
      </c>
      <c r="I30" s="1235"/>
      <c r="J30" s="1225"/>
      <c r="K30" s="1234"/>
      <c r="W30" s="1155">
        <v>11</v>
      </c>
    </row>
    <row customHeight="1" ht="11.549999999999999">
      <c r="F31" s="1230" t="s">
        <v>318</v>
      </c>
      <c r="G31" s="1237" t="s">
        <v>1056</v>
      </c>
      <c r="H31" s="1236">
        <f>SUM(I31:J31)</f>
        <v>0</v>
      </c>
      <c r="I31" s="1235"/>
      <c r="J31" s="1225"/>
      <c r="K31" s="1234"/>
      <c r="W31" s="1155">
        <v>11</v>
      </c>
    </row>
    <row customHeight="1" ht="11.549999999999999">
      <c r="F32" s="1230">
        <v>3</v>
      </c>
      <c r="G32" s="690" t="s">
        <v>1057</v>
      </c>
      <c r="H32" s="1236">
        <f>SUM(I32:J32)</f>
        <v>0</v>
      </c>
      <c r="I32" s="1236">
        <f>SUM(I33:I34)</f>
        <v>0</v>
      </c>
      <c r="J32" s="1225"/>
      <c r="K32" s="1234"/>
      <c r="W32" s="1155">
        <v>11</v>
      </c>
    </row>
    <row customHeight="1" ht="48.29999999999999">
      <c r="F33" s="1230" t="s">
        <v>332</v>
      </c>
      <c r="G33" s="1237" t="s">
        <v>1058</v>
      </c>
      <c r="H33" s="1236">
        <f>SUM(I33:J33)</f>
        <v>0</v>
      </c>
      <c r="I33" s="1235"/>
      <c r="J33" s="1225"/>
      <c r="K33" s="1234"/>
      <c r="W33" s="1155">
        <v>46</v>
      </c>
    </row>
    <row customHeight="1" ht="11.549999999999999">
      <c r="F34" s="1230" t="s">
        <v>340</v>
      </c>
      <c r="G34" s="1237" t="s">
        <v>1059</v>
      </c>
      <c r="H34" s="1236">
        <f>SUM(I34:J34)</f>
        <v>0</v>
      </c>
      <c r="I34" s="1235"/>
      <c r="J34" s="1225"/>
      <c r="K34" s="1234"/>
      <c r="W34" s="1155">
        <v>11</v>
      </c>
    </row>
    <row customHeight="1" ht="11.549999999999999">
      <c r="F35" s="1230">
        <v>4</v>
      </c>
      <c r="G35" s="690" t="s">
        <v>1060</v>
      </c>
      <c r="H35" s="1236">
        <f>SUM(I35:J35)</f>
        <v>0</v>
      </c>
      <c r="I35" s="1235"/>
      <c r="J35" s="1225"/>
      <c r="K35" s="1234"/>
      <c r="W35" s="1155">
        <v>11</v>
      </c>
    </row>
    <row customHeight="1" ht="11.549999999999999">
      <c r="F36" s="1230"/>
      <c r="G36" s="693" t="s">
        <v>1061</v>
      </c>
      <c r="H36" s="1236">
        <f>SUM(I36:J36)</f>
        <v>0</v>
      </c>
      <c r="I36" s="1236">
        <f>SUM(I15,I28,I32,I35)</f>
        <v>0</v>
      </c>
      <c r="J36" s="1225"/>
      <c r="K36" s="1234"/>
      <c r="W36" s="1155">
        <v>11</v>
      </c>
    </row>
    <row customHeight="1" ht="29.25">
      <c r="F37" s="1231" t="s">
        <v>1062</v>
      </c>
      <c r="G37" s="2422" t="s">
        <v>1063</v>
      </c>
      <c r="H37" s="2422"/>
      <c r="I37" s="2422"/>
      <c r="J37" s="2422"/>
      <c r="K37" s="1234"/>
      <c r="W37" s="1155">
        <v>28</v>
      </c>
    </row>
    <row customHeight="1" ht="24">
      <c r="F38" s="1230" t="s">
        <v>113</v>
      </c>
      <c r="G38" s="690" t="s">
        <v>1064</v>
      </c>
      <c r="H38" s="1236">
        <f>SUM(I38:J38)</f>
        <v>0</v>
      </c>
      <c r="I38" s="1236">
        <f>SUM(I39,I44,I47)</f>
        <v>0</v>
      </c>
      <c r="J38" s="1225"/>
      <c r="K38" s="1234"/>
      <c r="W38" s="1155">
        <v>23</v>
      </c>
    </row>
    <row customHeight="1" ht="11.549999999999999">
      <c r="F39" s="1230" t="s">
        <v>1029</v>
      </c>
      <c r="G39" s="1237" t="s">
        <v>1028</v>
      </c>
      <c r="H39" s="1236">
        <f>SUM(I39:J39)</f>
        <v>0</v>
      </c>
      <c r="I39" s="1236">
        <f>SUM(I40:I43)</f>
        <v>0</v>
      </c>
      <c r="J39" s="1225"/>
      <c r="K39" s="1234"/>
      <c r="W39" s="1155">
        <v>11</v>
      </c>
    </row>
    <row customHeight="1" ht="24">
      <c r="F40" s="1230" t="s">
        <v>1065</v>
      </c>
      <c r="G40" s="1238" t="s">
        <v>1066</v>
      </c>
      <c r="H40" s="1236">
        <f>SUM(I40:J40)</f>
        <v>0</v>
      </c>
      <c r="I40" s="1235"/>
      <c r="J40" s="1225"/>
      <c r="K40" s="1234"/>
      <c r="W40" s="1155">
        <v>23</v>
      </c>
    </row>
    <row customHeight="1" ht="11.549999999999999">
      <c r="F41" s="1230" t="s">
        <v>1067</v>
      </c>
      <c r="G41" s="1238" t="s">
        <v>1068</v>
      </c>
      <c r="H41" s="1236">
        <f>SUM(I41:J41)</f>
        <v>0</v>
      </c>
      <c r="I41" s="1235"/>
      <c r="J41" s="1225"/>
      <c r="K41" s="1234"/>
      <c r="W41" s="1155">
        <v>11</v>
      </c>
    </row>
    <row customHeight="1" ht="11.549999999999999">
      <c r="F42" s="1230" t="s">
        <v>1069</v>
      </c>
      <c r="G42" s="1238" t="s">
        <v>1070</v>
      </c>
      <c r="H42" s="1236">
        <f>SUM(I42:J42)</f>
        <v>0</v>
      </c>
      <c r="I42" s="1235"/>
      <c r="J42" s="1225"/>
      <c r="K42" s="1234"/>
      <c r="W42" s="1155">
        <v>11</v>
      </c>
    </row>
    <row customHeight="1" ht="35.699999999999996">
      <c r="F43" s="1230" t="s">
        <v>1071</v>
      </c>
      <c r="G43" s="1238" t="s">
        <v>1072</v>
      </c>
      <c r="H43" s="1236">
        <f>SUM(I43:J43)</f>
        <v>0</v>
      </c>
      <c r="I43" s="1235"/>
      <c r="J43" s="1225"/>
      <c r="K43" s="1234"/>
      <c r="W43" s="1155">
        <v>34</v>
      </c>
    </row>
    <row customHeight="1" ht="11.549999999999999">
      <c r="F44" s="1230" t="s">
        <v>1031</v>
      </c>
      <c r="G44" s="1237" t="s">
        <v>1057</v>
      </c>
      <c r="H44" s="1236">
        <f>SUM(I44:J44)</f>
        <v>0</v>
      </c>
      <c r="I44" s="1236">
        <f>SUM(I45:I46)</f>
        <v>0</v>
      </c>
      <c r="J44" s="1225"/>
      <c r="K44" s="1234"/>
      <c r="W44" s="1155">
        <v>11</v>
      </c>
    </row>
    <row customHeight="1" ht="48.29999999999999">
      <c r="F45" s="1230" t="s">
        <v>1073</v>
      </c>
      <c r="G45" s="1238" t="s">
        <v>1058</v>
      </c>
      <c r="H45" s="1236">
        <f>SUM(I45:J45)</f>
        <v>0</v>
      </c>
      <c r="I45" s="1235"/>
      <c r="J45" s="1225"/>
      <c r="K45" s="1234"/>
      <c r="W45" s="1155">
        <v>46</v>
      </c>
    </row>
    <row customHeight="1" ht="11.549999999999999">
      <c r="F46" s="1230" t="s">
        <v>1074</v>
      </c>
      <c r="G46" s="1238" t="s">
        <v>1059</v>
      </c>
      <c r="H46" s="1236">
        <f>SUM(I46:J46)</f>
        <v>0</v>
      </c>
      <c r="I46" s="1235"/>
      <c r="J46" s="1225"/>
      <c r="K46" s="1234"/>
      <c r="W46" s="1155">
        <v>11</v>
      </c>
    </row>
    <row customHeight="1" ht="11.549999999999999">
      <c r="F47" s="1230" t="s">
        <v>1033</v>
      </c>
      <c r="G47" s="1237" t="s">
        <v>1075</v>
      </c>
      <c r="H47" s="1236">
        <f>SUM(I47:J47)</f>
        <v>0</v>
      </c>
      <c r="I47" s="1235"/>
      <c r="J47" s="1225"/>
      <c r="K47" s="1234"/>
      <c r="W47" s="1155">
        <v>11</v>
      </c>
    </row>
    <row customHeight="1" ht="24">
      <c r="F48" s="1230" t="s">
        <v>114</v>
      </c>
      <c r="G48" s="690" t="s">
        <v>1076</v>
      </c>
      <c r="H48" s="1236">
        <f>SUM(I48:J48)</f>
        <v>0</v>
      </c>
      <c r="I48" s="1236">
        <f>SUM(I49,I54,I57)</f>
        <v>0</v>
      </c>
      <c r="J48" s="1225"/>
      <c r="K48" s="1234"/>
      <c r="W48" s="1155">
        <v>23</v>
      </c>
    </row>
    <row customHeight="1" ht="11.549999999999999">
      <c r="F49" s="1230" t="s">
        <v>716</v>
      </c>
      <c r="G49" s="1237" t="s">
        <v>1028</v>
      </c>
      <c r="H49" s="1236">
        <f>SUM(I49:J49)</f>
        <v>0</v>
      </c>
      <c r="I49" s="1236">
        <f>SUM(I50:I53)</f>
        <v>0</v>
      </c>
      <c r="J49" s="1225"/>
      <c r="K49" s="1234"/>
      <c r="W49" s="1155">
        <v>11</v>
      </c>
    </row>
    <row customHeight="1" ht="24">
      <c r="F50" s="1230" t="s">
        <v>719</v>
      </c>
      <c r="G50" s="1238" t="s">
        <v>1066</v>
      </c>
      <c r="H50" s="1236">
        <f>SUM(I50:J50)</f>
        <v>0</v>
      </c>
      <c r="I50" s="1235"/>
      <c r="J50" s="1225"/>
      <c r="K50" s="1234"/>
      <c r="W50" s="1155">
        <v>23</v>
      </c>
    </row>
    <row customHeight="1" ht="11.549999999999999">
      <c r="F51" s="1230" t="s">
        <v>722</v>
      </c>
      <c r="G51" s="1238" t="s">
        <v>1068</v>
      </c>
      <c r="H51" s="1236">
        <f>SUM(I51:J51)</f>
        <v>0</v>
      </c>
      <c r="I51" s="1235"/>
      <c r="J51" s="1225"/>
      <c r="K51" s="1234"/>
      <c r="W51" s="1155">
        <v>11</v>
      </c>
    </row>
    <row customHeight="1" ht="11.549999999999999">
      <c r="F52" s="1230" t="s">
        <v>1077</v>
      </c>
      <c r="G52" s="1238" t="s">
        <v>1070</v>
      </c>
      <c r="H52" s="1236">
        <f>SUM(I52:J52)</f>
        <v>0</v>
      </c>
      <c r="I52" s="1235"/>
      <c r="J52" s="1225"/>
      <c r="K52" s="1234"/>
      <c r="W52" s="1155">
        <v>11</v>
      </c>
    </row>
    <row customHeight="1" ht="35.699999999999996">
      <c r="F53" s="1230" t="s">
        <v>1078</v>
      </c>
      <c r="G53" s="1238" t="s">
        <v>1072</v>
      </c>
      <c r="H53" s="1236">
        <f>SUM(I53:J53)</f>
        <v>0</v>
      </c>
      <c r="I53" s="1235"/>
      <c r="J53" s="1225"/>
      <c r="K53" s="1234"/>
      <c r="W53" s="1155">
        <v>34</v>
      </c>
    </row>
    <row customHeight="1" ht="11.549999999999999">
      <c r="F54" s="1230" t="s">
        <v>315</v>
      </c>
      <c r="G54" s="1237" t="s">
        <v>1057</v>
      </c>
      <c r="H54" s="1236">
        <f>SUM(I54:J54)</f>
        <v>0</v>
      </c>
      <c r="I54" s="1236">
        <f>SUM(I55:I56)</f>
        <v>0</v>
      </c>
      <c r="J54" s="1225"/>
      <c r="K54" s="1234"/>
      <c r="W54" s="1155">
        <v>11</v>
      </c>
    </row>
    <row customHeight="1" ht="48.29999999999999">
      <c r="F55" s="1230" t="s">
        <v>726</v>
      </c>
      <c r="G55" s="1238" t="s">
        <v>1058</v>
      </c>
      <c r="H55" s="1236">
        <f>SUM(I55:J55)</f>
        <v>0</v>
      </c>
      <c r="I55" s="1235"/>
      <c r="J55" s="1225"/>
      <c r="K55" s="1234"/>
      <c r="W55" s="1155">
        <v>46</v>
      </c>
    </row>
    <row customHeight="1" ht="11.549999999999999">
      <c r="F56" s="1230" t="s">
        <v>728</v>
      </c>
      <c r="G56" s="1238" t="s">
        <v>1059</v>
      </c>
      <c r="H56" s="1236">
        <f>SUM(I56:J56)</f>
        <v>0</v>
      </c>
      <c r="I56" s="1235"/>
      <c r="J56" s="1225"/>
      <c r="K56" s="1234"/>
      <c r="W56" s="1155">
        <v>11</v>
      </c>
    </row>
    <row customHeight="1" ht="11.549999999999999">
      <c r="F57" s="1230" t="s">
        <v>318</v>
      </c>
      <c r="G57" s="1237" t="s">
        <v>1075</v>
      </c>
      <c r="H57" s="1236">
        <f>SUM(I57:J57)</f>
        <v>0</v>
      </c>
      <c r="I57" s="1235"/>
      <c r="J57" s="1225"/>
      <c r="K57" s="1234"/>
      <c r="W57" s="1155">
        <v>11</v>
      </c>
    </row>
    <row customHeight="1" ht="11.549999999999999">
      <c r="F58" s="1230"/>
      <c r="G58" s="1239" t="s">
        <v>1061</v>
      </c>
      <c r="H58" s="1236">
        <f>SUM(I58:J58)</f>
        <v>0</v>
      </c>
      <c r="I58" s="1236">
        <f>SUM(I38,I48)</f>
        <v>0</v>
      </c>
      <c r="J58" s="1225"/>
      <c r="K58" s="1234"/>
      <c r="W58" s="1155">
        <v>11</v>
      </c>
    </row>
    <row customHeight="1" ht="10.5" hidden="1">
      <c r="A59" s="1166" t="s">
        <v>86</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9B63A1-6EE8-DFD8-CF58-CE36FFD30D35}"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customWidth="1"/>
    <col min="29" max="71" style="1063" width="0.8515625" customWidth="1"/>
    <col min="72" max="79" style="1063" width="21.7109375" hidden="1" customWidth="1"/>
    <col min="80" max="81" style="1063" width="29.140625" hidden="1" customWidth="1"/>
    <col min="82" max="89" style="1063" width="21.7109375" hidden="1" customWidth="1"/>
    <col min="90" max="102" style="1063" width="0.7109375" hidden="1" customWidth="1"/>
    <col min="103" max="114" style="1063" width="21.7109375" hidden="1" customWidth="1"/>
    <col min="115"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ООО "Энерго-Сервис"</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1079</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1080</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308</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92</v>
      </c>
      <c r="G11" s="2205" t="s">
        <v>1081</v>
      </c>
      <c r="H11" s="2437" t="s">
        <v>1082</v>
      </c>
      <c r="I11" s="2437" t="s">
        <v>1083</v>
      </c>
      <c r="J11" s="2438"/>
      <c r="K11" s="2438"/>
      <c r="L11" s="2438"/>
      <c r="M11" s="2438"/>
      <c r="N11" s="2438"/>
      <c r="O11" s="2209" t="s">
        <v>1084</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1084</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1084</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1085</v>
      </c>
      <c r="P12" s="2209"/>
      <c r="Q12" s="2209"/>
      <c r="R12" s="2209"/>
      <c r="S12" s="2209" t="s">
        <v>1086</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1087</v>
      </c>
      <c r="BU12" s="2387"/>
      <c r="BV12" s="2387"/>
      <c r="BW12" s="2433"/>
      <c r="BX12" s="2386" t="s">
        <v>1088</v>
      </c>
      <c r="BY12" s="2387"/>
      <c r="BZ12" s="2387"/>
      <c r="CA12" s="2433"/>
      <c r="CB12" s="2386" t="s">
        <v>1089</v>
      </c>
      <c r="CC12" s="2433"/>
      <c r="CD12" s="2386" t="s">
        <v>1090</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1091</v>
      </c>
      <c r="CZ12" s="2387"/>
      <c r="DA12" s="2387"/>
      <c r="DB12" s="2387"/>
      <c r="DC12" s="2387"/>
      <c r="DD12" s="2433"/>
      <c r="DE12" s="2386" t="s">
        <v>1092</v>
      </c>
      <c r="DF12" s="2433"/>
      <c r="DG12" s="2386" t="s">
        <v>1090</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1093</v>
      </c>
      <c r="P13" s="2209"/>
      <c r="Q13" s="2209"/>
      <c r="R13" s="2209"/>
      <c r="S13" s="2336" t="s">
        <v>1094</v>
      </c>
      <c r="T13" s="2388"/>
      <c r="U13" s="2127" t="s">
        <v>1095</v>
      </c>
      <c r="V13" s="2127"/>
      <c r="W13" s="2127"/>
      <c r="X13" s="2127"/>
      <c r="Y13" s="2127" t="s">
        <v>1096</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1097</v>
      </c>
      <c r="BU13" s="2388"/>
      <c r="BV13" s="2336" t="s">
        <v>1098</v>
      </c>
      <c r="BW13" s="2388"/>
      <c r="BX13" s="2336" t="s">
        <v>1099</v>
      </c>
      <c r="BY13" s="2388"/>
      <c r="BZ13" s="2336" t="s">
        <v>1100</v>
      </c>
      <c r="CA13" s="2388"/>
      <c r="CB13" s="2336" t="s">
        <v>1101</v>
      </c>
      <c r="CC13" s="2388"/>
      <c r="CD13" s="2336" t="s">
        <v>1102</v>
      </c>
      <c r="CE13" s="2388"/>
      <c r="CF13" s="2336" t="s">
        <v>1103</v>
      </c>
      <c r="CG13" s="2388"/>
      <c r="CH13" s="2386" t="s">
        <v>1104</v>
      </c>
      <c r="CI13" s="2387"/>
      <c r="CJ13" s="2387"/>
      <c r="CK13" s="2433"/>
      <c r="CL13" s="2436"/>
      <c r="CM13" s="2434"/>
      <c r="CN13" s="2434"/>
      <c r="CO13" s="2434"/>
      <c r="CP13" s="2434"/>
      <c r="CQ13" s="2434"/>
      <c r="CR13" s="2434"/>
      <c r="CS13" s="2434"/>
      <c r="CT13" s="2434"/>
      <c r="CU13" s="2434"/>
      <c r="CV13" s="2434"/>
      <c r="CW13" s="2434"/>
      <c r="CX13" s="2453"/>
      <c r="CY13" s="2336" t="s">
        <v>1105</v>
      </c>
      <c r="CZ13" s="2388"/>
      <c r="DA13" s="2336" t="s">
        <v>1106</v>
      </c>
      <c r="DB13" s="2388"/>
      <c r="DC13" s="2336" t="s">
        <v>1107</v>
      </c>
      <c r="DD13" s="2388"/>
      <c r="DE13" s="2336" t="s">
        <v>1108</v>
      </c>
      <c r="DF13" s="2388"/>
      <c r="DG13" s="2386" t="s">
        <v>1109</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1110</v>
      </c>
      <c r="P14" s="2388"/>
      <c r="Q14" s="2336" t="s">
        <v>1111</v>
      </c>
      <c r="R14" s="2388"/>
      <c r="S14" s="2337"/>
      <c r="T14" s="2213"/>
      <c r="U14" s="2336" t="s">
        <v>843</v>
      </c>
      <c r="V14" s="2388"/>
      <c r="W14" s="2336" t="s">
        <v>846</v>
      </c>
      <c r="X14" s="2388"/>
      <c r="Y14" s="2336" t="s">
        <v>843</v>
      </c>
      <c r="Z14" s="2388"/>
      <c r="AA14" s="2336" t="s">
        <v>853</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1112</v>
      </c>
      <c r="CI14" s="2388"/>
      <c r="CJ14" s="2336" t="s">
        <v>1113</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1114</v>
      </c>
      <c r="DH14" s="2388"/>
      <c r="DI14" s="2336" t="s">
        <v>1115</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833</v>
      </c>
      <c r="P16" s="2433"/>
      <c r="Q16" s="2386" t="s">
        <v>835</v>
      </c>
      <c r="R16" s="2433"/>
      <c r="S16" s="2386" t="s">
        <v>839</v>
      </c>
      <c r="T16" s="2433"/>
      <c r="U16" s="2386" t="s">
        <v>844</v>
      </c>
      <c r="V16" s="2433"/>
      <c r="W16" s="2386" t="s">
        <v>847</v>
      </c>
      <c r="X16" s="2433"/>
      <c r="Y16" s="2386" t="s">
        <v>851</v>
      </c>
      <c r="Z16" s="2433"/>
      <c r="AA16" s="2386" t="s">
        <v>854</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566</v>
      </c>
      <c r="BU16" s="2433"/>
      <c r="BV16" s="2386" t="s">
        <v>566</v>
      </c>
      <c r="BW16" s="2433"/>
      <c r="BX16" s="2386" t="s">
        <v>566</v>
      </c>
      <c r="BY16" s="2433"/>
      <c r="BZ16" s="2386" t="s">
        <v>566</v>
      </c>
      <c r="CA16" s="2433"/>
      <c r="CB16" s="2386" t="s">
        <v>1116</v>
      </c>
      <c r="CC16" s="2433"/>
      <c r="CD16" s="2386" t="s">
        <v>566</v>
      </c>
      <c r="CE16" s="2433"/>
      <c r="CF16" s="2386" t="s">
        <v>1117</v>
      </c>
      <c r="CG16" s="2433"/>
      <c r="CH16" s="2386" t="s">
        <v>1118</v>
      </c>
      <c r="CI16" s="2433"/>
      <c r="CJ16" s="2386" t="s">
        <v>1118</v>
      </c>
      <c r="CK16" s="2433"/>
      <c r="CL16" s="2436"/>
      <c r="CM16" s="2434"/>
      <c r="CN16" s="2434"/>
      <c r="CO16" s="2434"/>
      <c r="CP16" s="2434"/>
      <c r="CQ16" s="2434"/>
      <c r="CR16" s="2434"/>
      <c r="CS16" s="2434"/>
      <c r="CT16" s="2434"/>
      <c r="CU16" s="2434"/>
      <c r="CV16" s="2434"/>
      <c r="CW16" s="2434"/>
      <c r="CX16" s="2453"/>
      <c r="CY16" s="2336" t="s">
        <v>566</v>
      </c>
      <c r="CZ16" s="2388"/>
      <c r="DA16" s="2336" t="s">
        <v>566</v>
      </c>
      <c r="DB16" s="2388"/>
      <c r="DC16" s="2336" t="s">
        <v>566</v>
      </c>
      <c r="DD16" s="2388"/>
      <c r="DE16" s="2386" t="s">
        <v>1116</v>
      </c>
      <c r="DF16" s="2433"/>
      <c r="DG16" s="2386" t="s">
        <v>1119</v>
      </c>
      <c r="DH16" s="2433"/>
      <c r="DI16" s="2386" t="s">
        <v>1119</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1120</v>
      </c>
      <c r="P17" s="1191" t="s">
        <v>1121</v>
      </c>
      <c r="Q17" s="1191" t="s">
        <v>1120</v>
      </c>
      <c r="R17" s="1191" t="s">
        <v>1121</v>
      </c>
      <c r="S17" s="1191" t="s">
        <v>1120</v>
      </c>
      <c r="T17" s="1191" t="s">
        <v>1121</v>
      </c>
      <c r="U17" s="1191" t="s">
        <v>1120</v>
      </c>
      <c r="V17" s="1191" t="s">
        <v>1121</v>
      </c>
      <c r="W17" s="1191" t="s">
        <v>1120</v>
      </c>
      <c r="X17" s="1191" t="s">
        <v>1121</v>
      </c>
      <c r="Y17" s="1191" t="s">
        <v>1120</v>
      </c>
      <c r="Z17" s="1191" t="s">
        <v>1121</v>
      </c>
      <c r="AA17" s="1191" t="s">
        <v>1120</v>
      </c>
      <c r="AB17" s="1191" t="s">
        <v>1121</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1120</v>
      </c>
      <c r="BU17" s="1191" t="s">
        <v>1121</v>
      </c>
      <c r="BV17" s="1191" t="s">
        <v>1120</v>
      </c>
      <c r="BW17" s="1191" t="s">
        <v>1121</v>
      </c>
      <c r="BX17" s="1191" t="s">
        <v>1120</v>
      </c>
      <c r="BY17" s="1191" t="s">
        <v>1121</v>
      </c>
      <c r="BZ17" s="1191" t="s">
        <v>1120</v>
      </c>
      <c r="CA17" s="1191" t="s">
        <v>1121</v>
      </c>
      <c r="CB17" s="1191" t="s">
        <v>1120</v>
      </c>
      <c r="CC17" s="1191" t="s">
        <v>1121</v>
      </c>
      <c r="CD17" s="1191" t="s">
        <v>1120</v>
      </c>
      <c r="CE17" s="1191" t="s">
        <v>1121</v>
      </c>
      <c r="CF17" s="1191" t="s">
        <v>1120</v>
      </c>
      <c r="CG17" s="1191" t="s">
        <v>1121</v>
      </c>
      <c r="CH17" s="1191" t="s">
        <v>1120</v>
      </c>
      <c r="CI17" s="1191" t="s">
        <v>1121</v>
      </c>
      <c r="CJ17" s="1191" t="s">
        <v>1120</v>
      </c>
      <c r="CK17" s="1191" t="s">
        <v>1121</v>
      </c>
      <c r="CL17" s="2436"/>
      <c r="CM17" s="2434"/>
      <c r="CN17" s="2434"/>
      <c r="CO17" s="2434"/>
      <c r="CP17" s="2434"/>
      <c r="CQ17" s="2434"/>
      <c r="CR17" s="2434"/>
      <c r="CS17" s="2434"/>
      <c r="CT17" s="2434"/>
      <c r="CU17" s="2434"/>
      <c r="CV17" s="2434"/>
      <c r="CW17" s="2434"/>
      <c r="CX17" s="2453"/>
      <c r="CY17" s="1191" t="s">
        <v>1120</v>
      </c>
      <c r="CZ17" s="1191" t="s">
        <v>1121</v>
      </c>
      <c r="DA17" s="1191" t="s">
        <v>1120</v>
      </c>
      <c r="DB17" s="1191" t="s">
        <v>1121</v>
      </c>
      <c r="DC17" s="1191" t="s">
        <v>1120</v>
      </c>
      <c r="DD17" s="1191" t="s">
        <v>1121</v>
      </c>
      <c r="DE17" s="1191" t="s">
        <v>1120</v>
      </c>
      <c r="DF17" s="1191" t="s">
        <v>1121</v>
      </c>
      <c r="DG17" s="1191" t="s">
        <v>1120</v>
      </c>
      <c r="DH17" s="1191" t="s">
        <v>1121</v>
      </c>
      <c r="DI17" s="1191" t="s">
        <v>1120</v>
      </c>
      <c r="DJ17" s="1191" t="s">
        <v>1121</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384</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86</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7F6608-DB57-FF68-4C68-7C4A36766927}"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453</v>
      </c>
      <c r="D2" s="539"/>
      <c r="E2" s="663"/>
      <c r="F2" s="1761" t="str">
        <f>IF(TEMPLATE_SPHERE="HEAT","Гкал/час","тыс. куб. м/сутки")</f>
        <v>Гкал/час</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7"/>
      <c r="F5" s="2237"/>
      <c r="G5" s="2237"/>
      <c r="H5" s="2237"/>
      <c r="I5" s="537"/>
      <c r="S5" s="505">
        <v>38</v>
      </c>
    </row>
    <row customHeight="1" ht="15.75">
      <c r="C6" s="176"/>
      <c r="D6" s="2176" t="str">
        <f>IF(org=0,"Не определено",org)</f>
        <v>ООО "Энерго-Сервис"</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121</v>
      </c>
      <c r="S8" s="505">
        <v>1</v>
      </c>
    </row>
    <row customHeight="1" ht="15.75">
      <c r="C9" s="176"/>
      <c r="D9" s="711"/>
      <c r="E9" s="2367" t="s">
        <v>109</v>
      </c>
      <c r="F9" s="2368"/>
      <c r="G9" s="816" t="str">
        <f>IF(G8="","",INDEX(DIFFERENTIATION_UNMERGE_VD,MATCH(G8,DIFFERENTIATION_ID_DIFF,0)))</f>
        <v/>
      </c>
      <c r="H9" s="816">
        <f>IF(H8="","",INDEX(DIFFERENTIATION_UNMERGE_VD,MATCH(H8,DIFFERENTIATION_ID_DIFF,0)))</f>
        <v>0</v>
      </c>
      <c r="I9" s="2127" t="s">
        <v>309</v>
      </c>
      <c r="S9" s="505">
        <v>15</v>
      </c>
    </row>
    <row s="1635" customFormat="1" customHeight="1" ht="15.75">
      <c r="A10" s="759"/>
      <c r="C10" s="176"/>
      <c r="D10" s="711"/>
      <c r="E10" s="2367" t="s">
        <v>572</v>
      </c>
      <c r="F10" s="2368"/>
      <c r="G10" s="816" t="str">
        <f>IF(G8="","",INDEX(DIFFERENTIATION_UNMERGE_AREA,MATCH(G8,DIFFERENTIATION_ID_DIFF,0)))</f>
        <v/>
      </c>
      <c r="H10" s="816" t="str">
        <f>IF(H8="","",INDEX(DIFFERENTIATION_UNMERGE_AREA,MATCH(H8,DIFFERENTIATION_ID_DIFF,0)))</f>
        <v/>
      </c>
      <c r="I10" s="2127"/>
      <c r="R10" s="675"/>
      <c r="S10" s="758">
        <v>15</v>
      </c>
    </row>
    <row s="1635" customFormat="1" customHeight="1" ht="15.75">
      <c r="A11" s="759"/>
      <c r="C11" s="176"/>
      <c r="D11" s="711"/>
      <c r="E11" s="2367" t="s">
        <v>573</v>
      </c>
      <c r="F11" s="2368"/>
      <c r="G11" s="816" t="str">
        <f>IF(G8="","",INDEX(DIFFERENTIATION_UNMERGE_SYSTEM,MATCH(G8,DIFFERENTIATION_ID_DIFF,0)))</f>
        <v/>
      </c>
      <c r="H11" s="816" t="str">
        <f>IF(H8="","",INDEX(DIFFERENTIATION_UNMERGE_SYSTEM,MATCH(H8,DIFFERENTIATION_ID_DIFF,0)))</f>
        <v>без дифференциации</v>
      </c>
      <c r="I11" s="2127"/>
      <c r="R11" s="675"/>
      <c r="S11" s="758">
        <v>15</v>
      </c>
    </row>
    <row s="1635" customFormat="1" customHeight="1" ht="15.75">
      <c r="A12" s="759"/>
      <c r="C12" s="176"/>
      <c r="D12" s="2369" t="s">
        <v>308</v>
      </c>
      <c r="E12" s="2370"/>
      <c r="F12" s="2370"/>
      <c r="G12" s="887"/>
      <c r="H12" s="887"/>
      <c r="I12" s="2127"/>
      <c r="R12" s="675"/>
      <c r="S12" s="758">
        <v>15</v>
      </c>
    </row>
    <row customHeight="1" ht="35.699999999999996">
      <c r="C13" s="176"/>
      <c r="D13" s="761" t="s">
        <v>92</v>
      </c>
      <c r="E13" s="760" t="s">
        <v>310</v>
      </c>
      <c r="F13" s="760" t="s">
        <v>574</v>
      </c>
      <c r="G13" s="808" t="s">
        <v>311</v>
      </c>
      <c r="H13" s="754" t="s">
        <v>311</v>
      </c>
      <c r="I13" s="2127"/>
      <c r="S13" s="505">
        <v>34</v>
      </c>
    </row>
    <row customHeight="1" ht="15" hidden="1">
      <c r="C14" s="176"/>
      <c r="D14" s="593" t="s">
        <v>113</v>
      </c>
      <c r="E14" s="593" t="s">
        <v>114</v>
      </c>
      <c r="F14" s="593" t="s">
        <v>94</v>
      </c>
      <c r="G14" s="659" t="str">
        <f>G1&amp;".1"</f>
        <v>.1</v>
      </c>
      <c r="H14" s="659" t="str">
        <f>H1&amp;".1"</f>
        <v>4.1</v>
      </c>
      <c r="I14" s="289"/>
      <c r="S14" s="505">
        <v>0</v>
      </c>
    </row>
    <row customHeight="1" ht="15.75">
      <c r="A15" s="505"/>
      <c r="C15" s="526"/>
      <c r="D15" s="521">
        <v>1</v>
      </c>
      <c r="E15" s="1930" t="str">
        <f>TP_P_A</f>
        <v>Количество поданных заявок</v>
      </c>
      <c r="F15" s="521" t="s">
        <v>1122</v>
      </c>
      <c r="G15" s="685"/>
      <c r="H15" s="685"/>
      <c r="I15" s="208"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5">
        <v>15</v>
      </c>
    </row>
    <row customHeight="1" ht="15.75">
      <c r="A16" s="505"/>
      <c r="C16" s="526"/>
      <c r="D16" s="521">
        <v>2</v>
      </c>
      <c r="E16" s="1930" t="str">
        <f>TP_P_B</f>
        <v>Количество рассмотренных заявок</v>
      </c>
      <c r="F16" s="521" t="s">
        <v>1122</v>
      </c>
      <c r="G16" s="685"/>
      <c r="H16" s="685"/>
      <c r="I16" s="208"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5">
        <v>15</v>
      </c>
    </row>
    <row customHeight="1" ht="77.7">
      <c r="A17" s="505"/>
      <c r="C17" s="526"/>
      <c r="D17" s="521">
        <v>3</v>
      </c>
      <c r="E17" s="1930"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1" t="s">
        <v>1122</v>
      </c>
      <c r="G17" s="685"/>
      <c r="H17" s="685"/>
      <c r="I17" s="208" t="str">
        <f>TP_P_NOTE_V</f>
        <v>Указывается количество заявок с решением об отказе в течение отчетного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системе теплоснабжения</v>
      </c>
      <c r="F18" s="521" t="s">
        <v>314</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Резерв мощности источников тепловой энергии, входящих в систему теплоснабжения, в течение одного квартала, в том числе:</v>
      </c>
      <c r="F19" s="521" t="str">
        <f>IF(TEMPLATE_SPHERE="HEAT","Гкал/час","тыс. куб. м/сутки")</f>
        <v>Гкал/час</v>
      </c>
      <c r="G19" s="687">
        <f>SUM(G20:G22)</f>
        <v>0</v>
      </c>
      <c r="H19" s="687">
        <f>SUM(H20:H22)</f>
        <v>0</v>
      </c>
      <c r="I19" s="208"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5">
        <v>57</v>
      </c>
    </row>
    <row customHeight="1" ht="15" hidden="1">
      <c r="D20" s="509" t="s">
        <v>1123</v>
      </c>
      <c r="E20" s="688"/>
      <c r="F20" s="509"/>
      <c r="G20" s="509"/>
      <c r="H20" s="509"/>
      <c r="I20" s="1763"/>
      <c r="S20" s="505">
        <v>0</v>
      </c>
    </row>
    <row customHeight="1" ht="29.25">
      <c r="C21" s="451"/>
      <c r="D21" s="539" t="s">
        <v>321</v>
      </c>
      <c r="E21" s="670"/>
      <c r="F21" s="1761" t="str">
        <f>IF(TEMPLATE_SPHERE="HEAT","Гкал/час","тыс. куб. м/сутки")</f>
        <v>Гкал/час</v>
      </c>
      <c r="G21" s="680"/>
      <c r="H21" s="680"/>
      <c r="I21" s="2169"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5">
        <v>28</v>
      </c>
    </row>
    <row customHeight="1" ht="15.75">
      <c r="A22" s="505"/>
      <c r="C22" s="505"/>
      <c r="D22" s="347"/>
      <c r="E22" s="580" t="s">
        <v>1124</v>
      </c>
      <c r="F22" s="572"/>
      <c r="G22" s="572"/>
      <c r="H22" s="572"/>
      <c r="I22" s="2171"/>
      <c r="R22" s="505"/>
      <c r="S22" s="505">
        <v>15</v>
      </c>
    </row>
    <row customHeight="1" ht="22.5" hidden="1">
      <c r="A23" s="449" t="s">
        <v>86</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9757FD-ABEC-B29F-8EC8-790E2BFDF3A2}"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5"/>
      <c r="F5" s="2455"/>
      <c r="G5" s="2456"/>
      <c r="Q5" s="83">
        <v>28</v>
      </c>
    </row>
    <row s="1635" customFormat="1" customHeight="1" ht="18.75">
      <c r="A6" s="882"/>
      <c r="B6" s="417"/>
      <c r="C6" s="376"/>
      <c r="D6" s="2457" t="str">
        <f>IF(org=0,"Не определено",org)</f>
        <v>ООО "Энерго-Сервис"</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308</v>
      </c>
      <c r="E9" s="2209"/>
      <c r="F9" s="2209"/>
      <c r="G9" s="2389" t="s">
        <v>309</v>
      </c>
      <c r="Q9" s="83">
        <v>14</v>
      </c>
    </row>
    <row customHeight="1" ht="24">
      <c r="C10" s="96"/>
      <c r="D10" s="105" t="s">
        <v>92</v>
      </c>
      <c r="E10" s="108" t="s">
        <v>310</v>
      </c>
      <c r="F10" s="108" t="s">
        <v>398</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8" t="s">
        <v>314</v>
      </c>
      <c r="G12" s="151"/>
      <c r="Q12" s="83">
        <v>62</v>
      </c>
    </row>
    <row customHeight="1" ht="24">
      <c r="A13" s="192"/>
      <c r="C13" s="96"/>
      <c r="D13" s="147" t="s">
        <v>1029</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314</v>
      </c>
      <c r="G13" s="151"/>
      <c r="Q13" s="83">
        <v>23</v>
      </c>
    </row>
    <row customHeight="1" ht="14.699999999999998">
      <c r="A14" s="192"/>
      <c r="C14" s="96"/>
      <c r="D14" s="147" t="s">
        <v>1065</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1125</v>
      </c>
      <c r="F15" s="201"/>
      <c r="G15" s="2171"/>
      <c r="Q15" s="83">
        <v>15</v>
      </c>
    </row>
    <row customHeight="1" ht="14.699999999999998">
      <c r="A16" s="192"/>
      <c r="C16" s="96"/>
      <c r="D16" s="147" t="s">
        <v>1031</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8" t="s">
        <v>314</v>
      </c>
      <c r="G16" s="337"/>
      <c r="Q16" s="83">
        <v>14</v>
      </c>
    </row>
    <row customHeight="1" ht="14.699999999999998">
      <c r="A17" s="192"/>
      <c r="C17" s="96"/>
      <c r="D17" s="147" t="s">
        <v>1073</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3">
        <v>14</v>
      </c>
    </row>
    <row s="1635" customFormat="1" customHeight="1" ht="22.049999999999997">
      <c r="A18" s="343"/>
      <c r="B18" s="146"/>
      <c r="C18" s="307"/>
      <c r="D18" s="347"/>
      <c r="E18" s="349" t="s">
        <v>1126</v>
      </c>
      <c r="F18" s="338"/>
      <c r="G18" s="2171"/>
      <c r="I18" s="350"/>
      <c r="J18" s="350"/>
      <c r="Q18" s="342">
        <v>21</v>
      </c>
    </row>
    <row s="1635" customFormat="1" customHeight="1" ht="256.5" hidden="1">
      <c r="A19" s="343"/>
      <c r="B19" s="417"/>
      <c r="C19" s="376"/>
      <c r="D19" s="884" t="s">
        <v>1033</v>
      </c>
      <c r="E19" s="883" t="s">
        <v>1127</v>
      </c>
      <c r="F19" s="385"/>
      <c r="G19" s="337" t="s">
        <v>1128</v>
      </c>
      <c r="I19" s="500"/>
      <c r="J19" s="500"/>
      <c r="Q19" s="758">
        <v>0</v>
      </c>
    </row>
    <row s="1635" customFormat="1" customHeight="1" ht="14.699999999999998">
      <c r="A20" s="343"/>
      <c r="B20" s="146"/>
      <c r="C20" s="307"/>
      <c r="D20" s="885">
        <v>2</v>
      </c>
      <c r="E20" s="330" t="s">
        <v>1129</v>
      </c>
      <c r="F20" s="198" t="s">
        <v>314</v>
      </c>
      <c r="G20" s="337"/>
      <c r="I20" s="350"/>
      <c r="J20" s="350"/>
      <c r="Q20" s="342">
        <v>14</v>
      </c>
    </row>
    <row s="1635" customFormat="1" customHeight="1" ht="18.75" hidden="1">
      <c r="A21" s="343"/>
      <c r="B21" s="146"/>
      <c r="C21" s="307"/>
      <c r="D21" s="333" t="s">
        <v>644</v>
      </c>
      <c r="E21" s="332"/>
      <c r="F21" s="331"/>
      <c r="G21" s="341"/>
      <c r="H21" s="334"/>
      <c r="I21" s="350"/>
      <c r="J21" s="350"/>
      <c r="Q21" s="342">
        <v>0</v>
      </c>
    </row>
    <row customHeight="1" ht="15.75">
      <c r="A22" s="192"/>
      <c r="C22" s="96"/>
      <c r="D22" s="109"/>
      <c r="E22" s="203" t="s">
        <v>330</v>
      </c>
      <c r="F22" s="338"/>
      <c r="G22" s="339"/>
      <c r="Q22" s="83">
        <v>15</v>
      </c>
    </row>
    <row s="1635" customFormat="1" customHeight="1" ht="22.5" hidden="1">
      <c r="A23" s="343"/>
      <c r="B23" s="1160"/>
      <c r="C23" s="376"/>
      <c r="D23" s="1673" t="s">
        <v>114</v>
      </c>
      <c r="E23" s="197" t="s">
        <v>1130</v>
      </c>
      <c r="F23" s="1670" t="s">
        <v>314</v>
      </c>
      <c r="G23" s="345"/>
      <c r="I23" s="1624"/>
      <c r="J23" s="1624"/>
      <c r="Q23" s="1631">
        <v>0</v>
      </c>
    </row>
    <row s="1635" customFormat="1" customHeight="1" ht="14.25" hidden="1">
      <c r="A24" s="343"/>
      <c r="B24" s="1160"/>
      <c r="C24" s="376"/>
      <c r="D24" s="1673" t="s">
        <v>716</v>
      </c>
      <c r="E24" s="1672" t="s">
        <v>1131</v>
      </c>
      <c r="F24" s="1670" t="s">
        <v>314</v>
      </c>
      <c r="G24" s="337"/>
      <c r="I24" s="1624"/>
      <c r="J24" s="1624"/>
      <c r="Q24" s="1631">
        <v>0</v>
      </c>
    </row>
    <row s="1635" customFormat="1" customHeight="1" ht="14.25" hidden="1">
      <c r="A25" s="343"/>
      <c r="B25" s="1160"/>
      <c r="C25" s="376"/>
      <c r="D25" s="1673" t="s">
        <v>719</v>
      </c>
      <c r="E25" s="195"/>
      <c r="F25" s="385"/>
      <c r="G25" s="2169" t="s">
        <v>1132</v>
      </c>
      <c r="I25" s="1624"/>
      <c r="J25" s="1624"/>
      <c r="Q25" s="1631">
        <v>0</v>
      </c>
    </row>
    <row s="1635" customFormat="1" customHeight="1" ht="22.5" hidden="1">
      <c r="A26" s="343"/>
      <c r="B26" s="1160"/>
      <c r="C26" s="376"/>
      <c r="D26" s="347"/>
      <c r="E26" s="349" t="s">
        <v>1133</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86</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25E599-F95E-C948-FBC8-64AD376ED2C2}"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453</v>
      </c>
      <c r="D2" s="1673"/>
      <c r="E2" s="199"/>
      <c r="F2" s="1670"/>
      <c r="G2" s="1670" t="s">
        <v>314</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453</v>
      </c>
      <c r="D4" s="1673"/>
      <c r="E4" s="205" t="s">
        <v>1134</v>
      </c>
      <c r="F4" s="1670"/>
      <c r="G4" s="257"/>
      <c r="H4" s="1670" t="s">
        <v>314</v>
      </c>
      <c r="K4" s="1624"/>
      <c r="L4" s="1624"/>
      <c r="M4" s="1631">
        <v>0</v>
      </c>
    </row>
    <row s="1635" customFormat="1" customHeight="1" ht="14.25" hidden="1">
      <c r="A5" s="1362"/>
      <c r="B5" s="1160"/>
      <c r="C5" s="344"/>
      <c r="K5" s="1624"/>
      <c r="L5" s="1624"/>
      <c r="M5" s="1631">
        <v>0</v>
      </c>
    </row>
    <row s="1635" customFormat="1" customHeight="1" ht="18.75" hidden="1">
      <c r="A6" s="1683"/>
      <c r="B6" s="1160"/>
      <c r="C6" s="1730" t="s">
        <v>453</v>
      </c>
      <c r="D6" s="1673"/>
      <c r="E6" s="206" t="s">
        <v>1135</v>
      </c>
      <c r="F6" s="1670"/>
      <c r="G6" s="257"/>
      <c r="H6" s="1670" t="s">
        <v>314</v>
      </c>
      <c r="K6" s="1624"/>
      <c r="L6" s="1624"/>
      <c r="M6" s="1631">
        <v>0</v>
      </c>
    </row>
    <row s="1635" customFormat="1" customHeight="1" ht="14.25" hidden="1">
      <c r="A7" s="1362"/>
      <c r="B7" s="1160"/>
      <c r="C7" s="344"/>
      <c r="K7" s="1624"/>
      <c r="L7" s="1624"/>
      <c r="M7" s="1631">
        <v>0</v>
      </c>
    </row>
    <row s="1635" customFormat="1" customHeight="1" ht="18.75" hidden="1">
      <c r="A8" s="1683"/>
      <c r="B8" s="1160"/>
      <c r="C8" s="1730" t="s">
        <v>453</v>
      </c>
      <c r="D8" s="1673"/>
      <c r="E8" s="206" t="s">
        <v>1136</v>
      </c>
      <c r="F8" s="1670"/>
      <c r="G8" s="257"/>
      <c r="H8" s="1670" t="s">
        <v>314</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453</v>
      </c>
      <c r="D10" s="1673"/>
      <c r="E10" s="206" t="s">
        <v>1137</v>
      </c>
      <c r="F10" s="1670"/>
      <c r="G10" s="1674"/>
      <c r="H10" s="1670" t="s">
        <v>314</v>
      </c>
      <c r="K10" s="1624"/>
      <c r="L10" s="1624" t="s">
        <v>1138</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5"/>
      <c r="F14" s="2455"/>
      <c r="G14" s="2455"/>
      <c r="H14" s="2456"/>
      <c r="J14" s="1631"/>
      <c r="M14" s="83">
        <v>28</v>
      </c>
    </row>
    <row s="1635" customFormat="1" customHeight="1" ht="14.699999999999998">
      <c r="A15" s="1362"/>
      <c r="B15" s="1160"/>
      <c r="C15" s="376"/>
      <c r="D15" s="2457" t="str">
        <f>IF(org=0,"Не определено",org)</f>
        <v>ООО "Энерго-Сервис"</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308</v>
      </c>
      <c r="E18" s="2209"/>
      <c r="F18" s="2209"/>
      <c r="G18" s="2209"/>
      <c r="H18" s="2209"/>
      <c r="I18" s="2389" t="s">
        <v>309</v>
      </c>
      <c r="M18" s="83">
        <v>21</v>
      </c>
    </row>
    <row customHeight="1" ht="22.049999999999997">
      <c r="C19" s="96"/>
      <c r="D19" s="105" t="s">
        <v>92</v>
      </c>
      <c r="E19" s="108" t="s">
        <v>310</v>
      </c>
      <c r="F19" s="108"/>
      <c r="G19" s="108" t="s">
        <v>311</v>
      </c>
      <c r="H19" s="108" t="s">
        <v>398</v>
      </c>
      <c r="I19" s="2389"/>
      <c r="M19" s="83">
        <v>21</v>
      </c>
    </row>
    <row customHeight="1" ht="12" hidden="1">
      <c r="C20" s="96"/>
      <c r="D20" s="87"/>
      <c r="E20" s="87"/>
      <c r="F20" s="87"/>
      <c r="G20" s="87"/>
      <c r="H20" s="87"/>
      <c r="I20" s="87"/>
      <c r="M20" s="83">
        <v>0</v>
      </c>
    </row>
    <row customHeight="1" ht="14.699999999999998">
      <c r="A21" s="1683"/>
      <c r="C21" s="96"/>
      <c r="D21" s="147">
        <v>1</v>
      </c>
      <c r="E21" s="2461" t="s">
        <v>1139</v>
      </c>
      <c r="F21" s="2461"/>
      <c r="G21" s="2461"/>
      <c r="H21" s="2461"/>
      <c r="I21" s="208"/>
      <c r="M21" s="83">
        <v>14</v>
      </c>
    </row>
    <row customHeight="1" ht="21">
      <c r="A22" s="1683"/>
      <c r="C22" s="96"/>
      <c r="D22" s="147" t="s">
        <v>1029</v>
      </c>
      <c r="E22" s="194" t="s">
        <v>1140</v>
      </c>
      <c r="F22" s="198"/>
      <c r="G22" s="1737"/>
      <c r="H22" s="198" t="s">
        <v>314</v>
      </c>
      <c r="I22" s="151" t="s">
        <v>1141</v>
      </c>
      <c r="M22" s="83">
        <v>20</v>
      </c>
    </row>
    <row customHeight="1" ht="60">
      <c r="A23" s="1683"/>
      <c r="C23" s="96"/>
      <c r="D23" s="147" t="s">
        <v>1031</v>
      </c>
      <c r="E23" s="194" t="s">
        <v>1142</v>
      </c>
      <c r="F23" s="198"/>
      <c r="G23" s="257"/>
      <c r="H23" s="213"/>
      <c r="I23" s="258" t="s">
        <v>1143</v>
      </c>
      <c r="M23" s="83">
        <v>57</v>
      </c>
    </row>
    <row customHeight="1" ht="14.699999999999998">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8"/>
      <c r="G24" s="198" t="s">
        <v>314</v>
      </c>
      <c r="H24" s="213"/>
      <c r="I24" s="259" t="s">
        <v>639</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0"/>
      <c r="G25" s="2460"/>
      <c r="H25" s="2460"/>
      <c r="I25" s="256"/>
      <c r="M25" s="83">
        <v>46</v>
      </c>
    </row>
    <row customHeight="1" ht="14.699999999999998">
      <c r="A26" s="1683"/>
      <c r="C26" s="96"/>
      <c r="D26" s="147" t="s">
        <v>332</v>
      </c>
      <c r="E26" s="199"/>
      <c r="F26" s="198"/>
      <c r="G26" s="198" t="s">
        <v>314</v>
      </c>
      <c r="H26" s="213"/>
      <c r="I26" s="2169" t="s">
        <v>1144</v>
      </c>
      <c r="M26" s="83">
        <v>14</v>
      </c>
    </row>
    <row customHeight="1" ht="15.75">
      <c r="A27" s="1683" t="s">
        <v>113</v>
      </c>
      <c r="C27" s="96"/>
      <c r="D27" s="109"/>
      <c r="E27" s="203" t="s">
        <v>330</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0"/>
      <c r="G28" s="2460"/>
      <c r="H28" s="2460"/>
      <c r="I28" s="256"/>
      <c r="M28" s="83">
        <v>38</v>
      </c>
    </row>
    <row customHeight="1" ht="21">
      <c r="A29" s="1683"/>
      <c r="C29" s="96"/>
      <c r="D29" s="147" t="s">
        <v>761</v>
      </c>
      <c r="E29" s="205" t="s">
        <v>1134</v>
      </c>
      <c r="F29" s="198"/>
      <c r="G29" s="257"/>
      <c r="H29" s="198" t="s">
        <v>314</v>
      </c>
      <c r="I29" s="2169" t="s">
        <v>1145</v>
      </c>
      <c r="M29" s="83">
        <v>20</v>
      </c>
    </row>
    <row customHeight="1" ht="15.75">
      <c r="A30" s="1683" t="s">
        <v>114</v>
      </c>
      <c r="C30" s="96"/>
      <c r="D30" s="109"/>
      <c r="E30" s="203" t="s">
        <v>330</v>
      </c>
      <c r="F30" s="204"/>
      <c r="G30" s="204"/>
      <c r="H30" s="201"/>
      <c r="I30" s="2171"/>
      <c r="M30" s="83">
        <v>15</v>
      </c>
    </row>
    <row customHeight="1" ht="31.5">
      <c r="A31" s="1683"/>
      <c r="B31" s="146">
        <v>3</v>
      </c>
      <c r="C31" s="96"/>
      <c r="D31" s="147">
        <v>5</v>
      </c>
      <c r="E31"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0"/>
      <c r="G31" s="2460"/>
      <c r="H31" s="2460"/>
      <c r="I31" s="256"/>
      <c r="M31" s="83">
        <v>30</v>
      </c>
    </row>
    <row customHeight="1" ht="27.299999999999997">
      <c r="A32" s="1683"/>
      <c r="C32" s="96"/>
      <c r="D32" s="147" t="s">
        <v>321</v>
      </c>
      <c r="E32"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3"/>
      <c r="G32" s="2403"/>
      <c r="H32" s="2403"/>
      <c r="I32" s="256"/>
      <c r="M32" s="83">
        <v>26</v>
      </c>
    </row>
    <row customHeight="1" ht="14.699999999999998">
      <c r="A33" s="1683"/>
      <c r="C33" s="96"/>
      <c r="D33" s="147" t="s">
        <v>1146</v>
      </c>
      <c r="E33" s="206" t="s">
        <v>1135</v>
      </c>
      <c r="F33" s="198"/>
      <c r="G33" s="257"/>
      <c r="H33" s="198" t="s">
        <v>314</v>
      </c>
      <c r="I33" s="2169" t="s">
        <v>1147</v>
      </c>
      <c r="M33" s="83">
        <v>14</v>
      </c>
    </row>
    <row customHeight="1" ht="15.75">
      <c r="A34" s="1683" t="s">
        <v>94</v>
      </c>
      <c r="C34" s="96"/>
      <c r="D34" s="109"/>
      <c r="E34" s="204" t="s">
        <v>330</v>
      </c>
      <c r="F34" s="200"/>
      <c r="G34" s="200"/>
      <c r="H34" s="201"/>
      <c r="I34" s="2171"/>
      <c r="M34" s="83">
        <v>15</v>
      </c>
    </row>
    <row customHeight="1" ht="25.2">
      <c r="A35" s="1683"/>
      <c r="C35" s="96"/>
      <c r="D35" s="147" t="s">
        <v>889</v>
      </c>
      <c r="E35"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3"/>
      <c r="G35" s="2403"/>
      <c r="H35" s="2403"/>
      <c r="I35" s="256"/>
      <c r="M35" s="83">
        <v>24</v>
      </c>
    </row>
    <row customHeight="1" ht="14.699999999999998">
      <c r="A36" s="1683"/>
      <c r="C36" s="96"/>
      <c r="D36" s="147" t="s">
        <v>1148</v>
      </c>
      <c r="E36" s="206" t="s">
        <v>1136</v>
      </c>
      <c r="F36" s="198"/>
      <c r="G36" s="257"/>
      <c r="H36" s="198" t="s">
        <v>314</v>
      </c>
      <c r="I36" s="2143" t="s">
        <v>1149</v>
      </c>
      <c r="M36" s="83">
        <v>14</v>
      </c>
    </row>
    <row customHeight="1" ht="15.75">
      <c r="A37" s="1683" t="s">
        <v>95</v>
      </c>
      <c r="C37" s="96"/>
      <c r="D37" s="109"/>
      <c r="E37" s="204" t="s">
        <v>330</v>
      </c>
      <c r="F37" s="200"/>
      <c r="G37" s="200"/>
      <c r="H37" s="201"/>
      <c r="I37" s="2143"/>
      <c r="M37" s="83">
        <v>15</v>
      </c>
    </row>
    <row customHeight="1" ht="27.299999999999997">
      <c r="A38" s="1683"/>
      <c r="C38" s="96"/>
      <c r="D38" s="147" t="s">
        <v>890</v>
      </c>
      <c r="E38"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3"/>
      <c r="G38" s="2403"/>
      <c r="H38" s="2403"/>
      <c r="I38" s="256"/>
      <c r="M38" s="83">
        <v>26</v>
      </c>
    </row>
    <row customHeight="1" ht="14.699999999999998">
      <c r="A39" s="1683"/>
      <c r="C39" s="96"/>
      <c r="D39" s="147" t="s">
        <v>891</v>
      </c>
      <c r="E39" s="206" t="s">
        <v>1137</v>
      </c>
      <c r="F39" s="198"/>
      <c r="G39" s="207"/>
      <c r="H39" s="198" t="s">
        <v>314</v>
      </c>
      <c r="I39" s="2169" t="s">
        <v>1150</v>
      </c>
      <c r="L39" s="155" t="s">
        <v>1138</v>
      </c>
      <c r="M39" s="83">
        <v>14</v>
      </c>
    </row>
    <row customHeight="1" ht="15.75">
      <c r="A40" s="1683" t="s">
        <v>115</v>
      </c>
      <c r="C40" s="96"/>
      <c r="D40" s="109"/>
      <c r="E40" s="204" t="s">
        <v>330</v>
      </c>
      <c r="F40" s="200"/>
      <c r="G40" s="200"/>
      <c r="H40" s="201"/>
      <c r="I40" s="2171"/>
      <c r="M40" s="83">
        <v>15</v>
      </c>
    </row>
    <row s="1823" customFormat="1" customHeight="1" ht="3">
      <c r="A41" s="1683"/>
      <c r="K41" s="196"/>
      <c r="L41" s="196"/>
      <c r="M41" s="140">
        <v>3</v>
      </c>
    </row>
    <row customHeight="1" ht="26.25">
      <c r="D42" s="1681" t="s">
        <v>811</v>
      </c>
      <c r="E42"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5"/>
      <c r="G42" s="2285"/>
      <c r="H42" s="2285"/>
      <c r="I42" s="2285"/>
      <c r="M42" s="83">
        <v>25</v>
      </c>
    </row>
    <row customHeight="1" ht="22.5" hidden="1">
      <c r="A43" s="1362" t="s">
        <v>86</v>
      </c>
      <c r="B43" s="146">
        <v>0</v>
      </c>
      <c r="C43" s="97">
        <v>3</v>
      </c>
      <c r="D43" s="83">
        <v>6</v>
      </c>
      <c r="E43" s="83">
        <v>63</v>
      </c>
      <c r="F43" s="83">
        <v>0</v>
      </c>
      <c r="G43" s="83">
        <v>35</v>
      </c>
      <c r="H43" s="83">
        <v>35</v>
      </c>
      <c r="I43" s="83">
        <v>91</v>
      </c>
      <c r="J43" s="83">
        <v>68</v>
      </c>
      <c r="K43" s="155">
        <v>10</v>
      </c>
      <c r="L43" s="155">
        <v>10</v>
      </c>
      <c r="M43" s="83">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4D8F96-E468-1ADE-FAEA-EC60106CB176}"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0</v>
      </c>
      <c r="O1" s="1624"/>
      <c r="P1" s="1624"/>
      <c r="T1" s="831"/>
      <c r="AG1" s="255"/>
      <c r="AH1" s="1631" t="s">
        <v>14</v>
      </c>
    </row>
    <row s="1635" customFormat="1" customHeight="1" ht="18.75" hidden="1">
      <c r="A2" s="1780" t="s">
        <v>159</v>
      </c>
      <c r="B2" s="1780" t="s">
        <v>160</v>
      </c>
      <c r="C2" s="369"/>
      <c r="D2" s="344"/>
      <c r="E2" s="1031"/>
      <c r="F2" s="1031"/>
      <c r="G2" s="2427" t="str">
        <f>INDEX(PT_DIFFERENTIATION_NTAR,MATCH(B2,PT_DIFFERENTIATION_NTAR_ID,0))</f>
        <v/>
      </c>
      <c r="H2" s="1864"/>
      <c r="I2" s="1739"/>
      <c r="J2" s="1773"/>
      <c r="K2" s="1865"/>
      <c r="L2" s="1864" t="s">
        <v>314</v>
      </c>
      <c r="M2" s="1875"/>
      <c r="N2" s="334"/>
      <c r="O2" s="1624"/>
      <c r="P2" s="1624"/>
      <c r="AH2" s="1631">
        <v>0</v>
      </c>
    </row>
    <row s="1635" customFormat="1" customHeight="1" ht="18.75" hidden="1">
      <c r="A3" s="1780"/>
      <c r="B3" s="1780"/>
      <c r="C3" s="369" t="s">
        <v>1151</v>
      </c>
      <c r="D3" s="344"/>
      <c r="E3" s="1031"/>
      <c r="F3" s="1031"/>
      <c r="G3" s="2427"/>
      <c r="H3" s="1500"/>
      <c r="I3" s="651" t="s">
        <v>1152</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0</v>
      </c>
      <c r="O4" s="1624"/>
      <c r="P4" s="1624"/>
      <c r="T4" s="831"/>
      <c r="AG4" s="255"/>
      <c r="AH4" s="1631">
        <v>0</v>
      </c>
    </row>
    <row s="1635" customFormat="1" customHeight="1" ht="18.75" hidden="1">
      <c r="A5" s="1780" t="s">
        <v>159</v>
      </c>
      <c r="B5" s="1780" t="s">
        <v>160</v>
      </c>
      <c r="C5" s="369"/>
      <c r="D5" s="344"/>
      <c r="E5" s="1031"/>
      <c r="F5" s="1031"/>
      <c r="G5" s="2427" t="str">
        <f>INDEX(PT_DIFFERENTIATION_NTAR,MATCH(B5,PT_DIFFERENTIATION_NTAR_ID,0))</f>
        <v/>
      </c>
      <c r="H5" s="1864"/>
      <c r="I5" s="1739"/>
      <c r="J5" s="1773"/>
      <c r="K5" s="1778"/>
      <c r="L5" s="1864" t="s">
        <v>314</v>
      </c>
      <c r="M5" s="1875"/>
      <c r="N5" s="334"/>
      <c r="O5" s="1624"/>
      <c r="P5" s="1624"/>
      <c r="AH5" s="1631">
        <v>0</v>
      </c>
    </row>
    <row s="1635" customFormat="1" customHeight="1" ht="18.75" hidden="1">
      <c r="A6" s="1780"/>
      <c r="B6" s="1780"/>
      <c r="C6" s="369" t="s">
        <v>1153</v>
      </c>
      <c r="D6" s="344"/>
      <c r="E6" s="1031"/>
      <c r="F6" s="1031"/>
      <c r="G6" s="2427"/>
      <c r="H6" s="1500"/>
      <c r="I6" s="651" t="s">
        <v>1152</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0</v>
      </c>
      <c r="O7" s="1624"/>
      <c r="P7" s="1624"/>
      <c r="T7" s="831"/>
      <c r="AG7" s="255"/>
      <c r="AH7" s="1631">
        <v>0</v>
      </c>
    </row>
    <row s="1635" customFormat="1" customHeight="1" ht="56.25" hidden="1">
      <c r="A8" s="1780"/>
      <c r="B8" s="1780"/>
      <c r="C8" s="369"/>
      <c r="D8" s="344"/>
      <c r="E8" s="1031"/>
      <c r="F8" s="1031"/>
      <c r="G8" s="1031"/>
      <c r="H8" s="1771"/>
      <c r="I8" s="1739"/>
      <c r="J8" s="1773"/>
      <c r="K8" s="1865"/>
      <c r="L8" s="1771" t="s">
        <v>314</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314</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изменении тарифов</v>
      </c>
      <c r="G16" s="2264" t="str">
        <f>IF(TITLE_DATE_PR_CHANGE="",IF(TITLE_DATE_PR="","",TITLE_DATE_PR),TITLE_DATE_PR_CHANGE)</f>
        <v>46010</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изменении тарифов</v>
      </c>
      <c r="G17" s="2251" t="str">
        <f>IF(TITLE_NUMBER_PR_CHANGE="",IF(TITLE_NUMBER_PR="","",TITLE_NUMBER_PR),TITLE_NUMBER_PR_CHANGE)</f>
        <v>66</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308</v>
      </c>
      <c r="F19" s="2209"/>
      <c r="G19" s="2209"/>
      <c r="H19" s="2209"/>
      <c r="I19" s="2209"/>
      <c r="J19" s="2209"/>
      <c r="K19" s="2209"/>
      <c r="L19" s="2209"/>
      <c r="M19" s="2389" t="s">
        <v>309</v>
      </c>
      <c r="AH19" s="374">
        <v>21</v>
      </c>
    </row>
    <row customHeight="1" ht="22.049999999999997">
      <c r="D20" s="376"/>
      <c r="E20" s="2277" t="s">
        <v>92</v>
      </c>
      <c r="F20" s="2224" t="s">
        <v>126</v>
      </c>
      <c r="G20" s="2224" t="s">
        <v>127</v>
      </c>
      <c r="H20" s="2386" t="s">
        <v>1154</v>
      </c>
      <c r="I20" s="2387"/>
      <c r="J20" s="2433"/>
      <c r="K20" s="2224" t="s">
        <v>311</v>
      </c>
      <c r="L20" s="2224" t="s">
        <v>398</v>
      </c>
      <c r="M20" s="2389"/>
      <c r="AH20" s="374">
        <v>21</v>
      </c>
    </row>
    <row customHeight="1" ht="22.049999999999997">
      <c r="D21" s="376"/>
      <c r="E21" s="2279"/>
      <c r="F21" s="2225"/>
      <c r="G21" s="2225"/>
      <c r="H21" s="2218" t="s">
        <v>1155</v>
      </c>
      <c r="I21" s="2220"/>
      <c r="J21" s="108" t="s">
        <v>1156</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113</v>
      </c>
      <c r="F23" s="2468" t="str">
        <f>"Предлагаемый метод регулирования"&amp;IF(TEMPLATE_SPHERE="HEAT"," в сфере "&amp;TEMPLATE_SPHERE_RUS,"")</f>
        <v>Предлагаемый метод регулирования в сфере теплоснабжения</v>
      </c>
      <c r="G23" s="2469"/>
      <c r="H23" s="2461"/>
      <c r="I23" s="2461"/>
      <c r="J23" s="2461"/>
      <c r="K23" s="2469" t="s">
        <v>314</v>
      </c>
      <c r="L23" s="2461"/>
      <c r="M23" s="1769"/>
      <c r="N23" s="334"/>
      <c r="AH23" s="374">
        <v>19</v>
      </c>
    </row>
    <row customHeight="1" ht="60.75" hidden="1">
      <c r="A24" s="1780" t="s">
        <v>159</v>
      </c>
      <c r="B24" s="1780" t="s">
        <v>160</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314</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1151</v>
      </c>
      <c r="D25" s="2466"/>
      <c r="E25" s="2204"/>
      <c r="F25" s="2470"/>
      <c r="G25" s="2427"/>
      <c r="H25" s="1500"/>
      <c r="I25" s="651" t="s">
        <v>1152</v>
      </c>
      <c r="J25" s="571"/>
      <c r="K25" s="1500"/>
      <c r="L25" s="214"/>
      <c r="M25" s="2170"/>
      <c r="N25" s="334"/>
      <c r="O25" s="1624"/>
      <c r="P25" s="1624"/>
      <c r="AH25" s="1631">
        <v>0</v>
      </c>
    </row>
    <row customHeight="1" ht="0.75" hidden="1">
      <c r="A26" s="1780"/>
      <c r="B26" s="1780"/>
      <c r="C26" s="369" t="s">
        <v>1157</v>
      </c>
      <c r="D26" s="2466"/>
      <c r="E26" s="2204"/>
      <c r="F26" s="2383"/>
      <c r="G26" s="400"/>
      <c r="H26" s="1500"/>
      <c r="I26" s="395"/>
      <c r="J26" s="349"/>
      <c r="K26" s="1500"/>
      <c r="L26" s="201"/>
      <c r="M26" s="2170"/>
      <c r="N26" s="334"/>
      <c r="AH26" s="374">
        <v>0</v>
      </c>
    </row>
    <row s="1635" customFormat="1" customHeight="1" ht="45" hidden="1">
      <c r="A27" s="1780" t="s">
        <v>167</v>
      </c>
      <c r="B27" s="1780" t="s">
        <v>168</v>
      </c>
      <c r="C27" s="369"/>
      <c r="D27" s="2462"/>
      <c r="E27" s="2463"/>
      <c r="F27" s="2464"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7" t="str">
        <f>INDEX(PT_DIFFERENTIATION_NTAR,MATCH(B27,PT_DIFFERENTIATION_NTAR_ID,0))</f>
        <v>одноставочный, руб/Гкал</v>
      </c>
      <c r="H27" s="1862"/>
      <c r="I27" s="1739"/>
      <c r="J27" s="1773"/>
      <c r="K27" s="1865"/>
      <c r="L27" s="1862" t="s">
        <v>314</v>
      </c>
      <c r="M27" s="2170"/>
      <c r="N27" s="334"/>
      <c r="O27" s="1624"/>
      <c r="P27" s="1624"/>
      <c r="AH27" s="1631">
        <v>0</v>
      </c>
    </row>
    <row s="1635" customFormat="1" customHeight="1" ht="18.75" hidden="1">
      <c r="A28" s="1780"/>
      <c r="B28" s="1780"/>
      <c r="C28" s="369" t="s">
        <v>1151</v>
      </c>
      <c r="D28" s="2462"/>
      <c r="E28" s="2463"/>
      <c r="F28" s="2464"/>
      <c r="G28" s="2427"/>
      <c r="H28" s="1500"/>
      <c r="I28" s="651" t="s">
        <v>1152</v>
      </c>
      <c r="J28" s="571"/>
      <c r="K28" s="1500"/>
      <c r="L28" s="214"/>
      <c r="M28" s="2170"/>
      <c r="N28" s="334"/>
      <c r="O28" s="1624"/>
      <c r="P28" s="1624"/>
      <c r="AH28" s="1631">
        <v>0</v>
      </c>
    </row>
    <row s="1635" customFormat="1" customHeight="1" ht="0.75" hidden="1">
      <c r="A29" s="1780"/>
      <c r="B29" s="1780"/>
      <c r="C29" s="369" t="s">
        <v>1157</v>
      </c>
      <c r="D29" s="2462"/>
      <c r="E29" s="2204"/>
      <c r="F29" s="2383"/>
      <c r="G29" s="400"/>
      <c r="H29" s="1500"/>
      <c r="I29" s="651"/>
      <c r="J29" s="571"/>
      <c r="K29" s="1500"/>
      <c r="L29" s="214"/>
      <c r="M29" s="2170"/>
      <c r="N29" s="334"/>
      <c r="O29" s="1624"/>
      <c r="P29" s="1624"/>
      <c r="AH29" s="1631">
        <v>0</v>
      </c>
    </row>
    <row s="1635" customFormat="1" customHeight="1" ht="45" hidden="1">
      <c r="A30" s="1780" t="s">
        <v>177</v>
      </c>
      <c r="B30" s="1780" t="s">
        <v>178</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314</v>
      </c>
      <c r="M30" s="2170"/>
      <c r="N30" s="334"/>
      <c r="O30" s="1624"/>
      <c r="P30" s="1624"/>
      <c r="AH30" s="1631">
        <v>0</v>
      </c>
    </row>
    <row s="1635" customFormat="1" customHeight="1" ht="18.75" hidden="1">
      <c r="A31" s="1780"/>
      <c r="B31" s="1780"/>
      <c r="C31" s="369" t="s">
        <v>1151</v>
      </c>
      <c r="D31" s="2462"/>
      <c r="E31" s="2204"/>
      <c r="F31" s="2383"/>
      <c r="G31" s="2427"/>
      <c r="H31" s="1500"/>
      <c r="I31" s="651" t="s">
        <v>1152</v>
      </c>
      <c r="J31" s="571"/>
      <c r="K31" s="1500"/>
      <c r="L31" s="214"/>
      <c r="M31" s="2170"/>
      <c r="N31" s="334"/>
      <c r="O31" s="1624"/>
      <c r="P31" s="1624"/>
      <c r="AH31" s="1631">
        <v>0</v>
      </c>
    </row>
    <row s="1635" customFormat="1" customHeight="1" ht="0.75" hidden="1">
      <c r="A32" s="1780"/>
      <c r="B32" s="1780"/>
      <c r="C32" s="369" t="s">
        <v>1157</v>
      </c>
      <c r="D32" s="2462"/>
      <c r="E32" s="2204"/>
      <c r="F32" s="2383"/>
      <c r="G32" s="400"/>
      <c r="H32" s="1500"/>
      <c r="I32" s="651"/>
      <c r="J32" s="571"/>
      <c r="K32" s="1500"/>
      <c r="L32" s="214"/>
      <c r="M32" s="2170"/>
      <c r="N32" s="334"/>
      <c r="O32" s="1624"/>
      <c r="P32" s="1624"/>
      <c r="AH32" s="1631">
        <v>0</v>
      </c>
    </row>
    <row s="1635" customFormat="1" customHeight="1" ht="45" hidden="1">
      <c r="A33" s="1780" t="s">
        <v>183</v>
      </c>
      <c r="B33" s="1780" t="s">
        <v>184</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314</v>
      </c>
      <c r="M33" s="2170"/>
      <c r="N33" s="334"/>
      <c r="O33" s="1624"/>
      <c r="P33" s="1624"/>
      <c r="AH33" s="1631">
        <v>0</v>
      </c>
    </row>
    <row s="1635" customFormat="1" customHeight="1" ht="18.75" hidden="1">
      <c r="A34" s="1780"/>
      <c r="B34" s="1780"/>
      <c r="C34" s="369" t="s">
        <v>1151</v>
      </c>
      <c r="D34" s="2462"/>
      <c r="E34" s="2204"/>
      <c r="F34" s="2383"/>
      <c r="G34" s="2427"/>
      <c r="H34" s="1500"/>
      <c r="I34" s="651" t="s">
        <v>1152</v>
      </c>
      <c r="J34" s="571"/>
      <c r="K34" s="1500"/>
      <c r="L34" s="214"/>
      <c r="M34" s="2170"/>
      <c r="N34" s="334"/>
      <c r="O34" s="1624"/>
      <c r="P34" s="1624"/>
      <c r="AH34" s="1631">
        <v>0</v>
      </c>
    </row>
    <row s="1635" customFormat="1" customHeight="1" ht="0.75" hidden="1">
      <c r="A35" s="1780"/>
      <c r="B35" s="1780"/>
      <c r="C35" s="369" t="s">
        <v>1157</v>
      </c>
      <c r="D35" s="2462"/>
      <c r="E35" s="2204"/>
      <c r="F35" s="2383"/>
      <c r="G35" s="400"/>
      <c r="H35" s="1500"/>
      <c r="I35" s="651"/>
      <c r="J35" s="571"/>
      <c r="K35" s="1500"/>
      <c r="L35" s="214"/>
      <c r="M35" s="2170"/>
      <c r="N35" s="334"/>
      <c r="O35" s="1624"/>
      <c r="P35" s="1624"/>
      <c r="AH35" s="1631">
        <v>0</v>
      </c>
    </row>
    <row s="1635" customFormat="1" customHeight="1" ht="18.75" hidden="1">
      <c r="A36" s="1780" t="s">
        <v>189</v>
      </c>
      <c r="B36" s="1780" t="s">
        <v>190</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314</v>
      </c>
      <c r="M36" s="2170"/>
      <c r="N36" s="334"/>
      <c r="O36" s="1624"/>
      <c r="P36" s="1624"/>
      <c r="AH36" s="1631">
        <v>0</v>
      </c>
    </row>
    <row s="1635" customFormat="1" customHeight="1" ht="18.75" hidden="1">
      <c r="A37" s="1780"/>
      <c r="B37" s="1780"/>
      <c r="C37" s="369" t="s">
        <v>1151</v>
      </c>
      <c r="D37" s="2462"/>
      <c r="E37" s="2204"/>
      <c r="F37" s="2383"/>
      <c r="G37" s="2427"/>
      <c r="H37" s="1500"/>
      <c r="I37" s="651" t="s">
        <v>1152</v>
      </c>
      <c r="J37" s="571"/>
      <c r="K37" s="1500"/>
      <c r="L37" s="214"/>
      <c r="M37" s="2170"/>
      <c r="N37" s="334"/>
      <c r="O37" s="1624"/>
      <c r="P37" s="1624"/>
      <c r="AH37" s="1631">
        <v>0</v>
      </c>
    </row>
    <row s="1635" customFormat="1" customHeight="1" ht="0.75" hidden="1">
      <c r="A38" s="1780"/>
      <c r="B38" s="1780"/>
      <c r="C38" s="369" t="s">
        <v>1157</v>
      </c>
      <c r="D38" s="2462"/>
      <c r="E38" s="2204"/>
      <c r="F38" s="2383"/>
      <c r="G38" s="400"/>
      <c r="H38" s="1500"/>
      <c r="I38" s="651"/>
      <c r="J38" s="571"/>
      <c r="K38" s="1500"/>
      <c r="L38" s="214"/>
      <c r="M38" s="2170"/>
      <c r="N38" s="334"/>
      <c r="O38" s="1624"/>
      <c r="P38" s="1624"/>
      <c r="AH38" s="1631">
        <v>0</v>
      </c>
    </row>
    <row s="1635" customFormat="1" customHeight="1" ht="18.75" hidden="1">
      <c r="A39" s="1780" t="s">
        <v>195</v>
      </c>
      <c r="B39" s="1780" t="s">
        <v>196</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314</v>
      </c>
      <c r="M39" s="2170"/>
      <c r="N39" s="334"/>
      <c r="O39" s="1624"/>
      <c r="P39" s="1624"/>
      <c r="AH39" s="1631">
        <v>0</v>
      </c>
    </row>
    <row s="1635" customFormat="1" customHeight="1" ht="18.75" hidden="1">
      <c r="A40" s="1780"/>
      <c r="B40" s="1780"/>
      <c r="C40" s="369" t="s">
        <v>1151</v>
      </c>
      <c r="D40" s="2462"/>
      <c r="E40" s="2204"/>
      <c r="F40" s="2383"/>
      <c r="G40" s="2427"/>
      <c r="H40" s="1500"/>
      <c r="I40" s="651" t="s">
        <v>1152</v>
      </c>
      <c r="J40" s="571"/>
      <c r="K40" s="1500"/>
      <c r="L40" s="214"/>
      <c r="M40" s="2170"/>
      <c r="N40" s="334"/>
      <c r="O40" s="1624"/>
      <c r="P40" s="1624"/>
      <c r="AH40" s="1631">
        <v>0</v>
      </c>
    </row>
    <row s="1635" customFormat="1" customHeight="1" ht="0.75" hidden="1">
      <c r="A41" s="1780"/>
      <c r="B41" s="1780"/>
      <c r="C41" s="369" t="s">
        <v>1157</v>
      </c>
      <c r="D41" s="2462"/>
      <c r="E41" s="2204"/>
      <c r="F41" s="2383"/>
      <c r="G41" s="400"/>
      <c r="H41" s="1500"/>
      <c r="I41" s="651"/>
      <c r="J41" s="571"/>
      <c r="K41" s="1500"/>
      <c r="L41" s="214"/>
      <c r="M41" s="2170"/>
      <c r="N41" s="334"/>
      <c r="O41" s="1624"/>
      <c r="P41" s="1624"/>
      <c r="AH41" s="1631">
        <v>0</v>
      </c>
    </row>
    <row s="1635" customFormat="1" customHeight="1" ht="18.75" hidden="1">
      <c r="A42" s="1780" t="s">
        <v>201</v>
      </c>
      <c r="B42" s="1780" t="s">
        <v>202</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314</v>
      </c>
      <c r="M42" s="2170"/>
      <c r="N42" s="334"/>
      <c r="O42" s="1624"/>
      <c r="P42" s="1624"/>
      <c r="AH42" s="1631">
        <v>0</v>
      </c>
    </row>
    <row s="1635" customFormat="1" customHeight="1" ht="18.75" hidden="1">
      <c r="A43" s="1780"/>
      <c r="B43" s="1780"/>
      <c r="C43" s="369" t="s">
        <v>1151</v>
      </c>
      <c r="D43" s="2462"/>
      <c r="E43" s="2204"/>
      <c r="F43" s="2383"/>
      <c r="G43" s="2427"/>
      <c r="H43" s="1500"/>
      <c r="I43" s="651" t="s">
        <v>1152</v>
      </c>
      <c r="J43" s="571"/>
      <c r="K43" s="1500"/>
      <c r="L43" s="214"/>
      <c r="M43" s="2170"/>
      <c r="N43" s="334"/>
      <c r="O43" s="1624"/>
      <c r="P43" s="1624"/>
      <c r="AH43" s="1631">
        <v>0</v>
      </c>
    </row>
    <row s="1635" customFormat="1" customHeight="1" ht="0.75" hidden="1">
      <c r="A44" s="1780"/>
      <c r="B44" s="1780"/>
      <c r="C44" s="369" t="s">
        <v>1157</v>
      </c>
      <c r="D44" s="2462"/>
      <c r="E44" s="2204"/>
      <c r="F44" s="2383"/>
      <c r="G44" s="400"/>
      <c r="H44" s="1500"/>
      <c r="I44" s="651"/>
      <c r="J44" s="571"/>
      <c r="K44" s="1500"/>
      <c r="L44" s="214"/>
      <c r="M44" s="2170"/>
      <c r="N44" s="334"/>
      <c r="O44" s="1624"/>
      <c r="P44" s="1624"/>
      <c r="AH44" s="1631">
        <v>0</v>
      </c>
    </row>
    <row s="1635" customFormat="1" customHeight="1" ht="18.75" hidden="1">
      <c r="A45" s="1780" t="s">
        <v>207</v>
      </c>
      <c r="B45" s="1780" t="s">
        <v>208</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314</v>
      </c>
      <c r="M45" s="2170"/>
      <c r="N45" s="334"/>
      <c r="O45" s="1624"/>
      <c r="P45" s="1624"/>
      <c r="AH45" s="1631">
        <v>0</v>
      </c>
    </row>
    <row s="1635" customFormat="1" customHeight="1" ht="18.75" hidden="1">
      <c r="A46" s="1780"/>
      <c r="B46" s="1780"/>
      <c r="C46" s="369" t="s">
        <v>1151</v>
      </c>
      <c r="D46" s="2462"/>
      <c r="E46" s="2204"/>
      <c r="F46" s="2383"/>
      <c r="G46" s="2427"/>
      <c r="H46" s="1500"/>
      <c r="I46" s="651" t="s">
        <v>1152</v>
      </c>
      <c r="J46" s="571"/>
      <c r="K46" s="1500"/>
      <c r="L46" s="214"/>
      <c r="M46" s="2170"/>
      <c r="N46" s="334"/>
      <c r="O46" s="1624"/>
      <c r="P46" s="1624"/>
      <c r="AH46" s="1631">
        <v>0</v>
      </c>
    </row>
    <row s="1635" customFormat="1" customHeight="1" ht="0.75" hidden="1">
      <c r="A47" s="1780"/>
      <c r="B47" s="1780"/>
      <c r="C47" s="369" t="s">
        <v>1157</v>
      </c>
      <c r="D47" s="2462"/>
      <c r="E47" s="2204"/>
      <c r="F47" s="2383"/>
      <c r="G47" s="400"/>
      <c r="H47" s="1500"/>
      <c r="I47" s="651"/>
      <c r="J47" s="571"/>
      <c r="K47" s="1500"/>
      <c r="L47" s="214"/>
      <c r="M47" s="2170"/>
      <c r="N47" s="334"/>
      <c r="O47" s="1624"/>
      <c r="P47" s="1624"/>
      <c r="AH47" s="1631">
        <v>0</v>
      </c>
    </row>
    <row s="1635" customFormat="1" customHeight="1" ht="18.75" hidden="1">
      <c r="A48" s="1780" t="s">
        <v>213</v>
      </c>
      <c r="B48" s="1780" t="s">
        <v>214</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
      </c>
      <c r="H48" s="1989"/>
      <c r="I48" s="1739"/>
      <c r="J48" s="1773"/>
      <c r="K48" s="1865"/>
      <c r="L48" s="1989" t="s">
        <v>314</v>
      </c>
      <c r="M48" s="2170"/>
      <c r="N48" s="334"/>
      <c r="O48" s="1624"/>
      <c r="P48" s="1624"/>
      <c r="AH48" s="1631">
        <v>0</v>
      </c>
    </row>
    <row s="1635" customFormat="1" customHeight="1" ht="18.75" hidden="1">
      <c r="A49" s="1780"/>
      <c r="B49" s="1780"/>
      <c r="C49" s="369" t="s">
        <v>1151</v>
      </c>
      <c r="D49" s="2462"/>
      <c r="E49" s="2204"/>
      <c r="F49" s="2383"/>
      <c r="G49" s="2427"/>
      <c r="H49" s="1500"/>
      <c r="I49" s="651" t="s">
        <v>1152</v>
      </c>
      <c r="J49" s="571"/>
      <c r="K49" s="1500"/>
      <c r="L49" s="214"/>
      <c r="M49" s="2170"/>
      <c r="N49" s="334"/>
      <c r="O49" s="1624"/>
      <c r="P49" s="1624"/>
      <c r="AH49" s="1631">
        <v>0</v>
      </c>
    </row>
    <row s="1635" customFormat="1" customHeight="1" ht="0.75" hidden="1">
      <c r="A50" s="1780"/>
      <c r="B50" s="1780"/>
      <c r="C50" s="369" t="s">
        <v>1157</v>
      </c>
      <c r="D50" s="2462"/>
      <c r="E50" s="2204"/>
      <c r="F50" s="2383"/>
      <c r="G50" s="400"/>
      <c r="H50" s="1500"/>
      <c r="I50" s="651"/>
      <c r="J50" s="571"/>
      <c r="K50" s="1500"/>
      <c r="L50" s="214"/>
      <c r="M50" s="2170"/>
      <c r="N50" s="334"/>
      <c r="O50" s="1624"/>
      <c r="P50" s="1624"/>
      <c r="AH50" s="1631">
        <v>0</v>
      </c>
    </row>
    <row s="1635" customFormat="1" customHeight="1" ht="18.75" hidden="1">
      <c r="A51" s="1780" t="s">
        <v>233</v>
      </c>
      <c r="B51" s="1780" t="s">
        <v>234</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
      </c>
      <c r="H51" s="1862"/>
      <c r="I51" s="1739"/>
      <c r="J51" s="1773"/>
      <c r="K51" s="1865"/>
      <c r="L51" s="1862" t="s">
        <v>314</v>
      </c>
      <c r="M51" s="2170"/>
      <c r="N51" s="334"/>
      <c r="O51" s="1624"/>
      <c r="P51" s="1624"/>
      <c r="AH51" s="1631">
        <v>0</v>
      </c>
    </row>
    <row s="1635" customFormat="1" customHeight="1" ht="18.75" hidden="1">
      <c r="A52" s="1780"/>
      <c r="B52" s="1780"/>
      <c r="C52" s="369" t="s">
        <v>1151</v>
      </c>
      <c r="D52" s="2462"/>
      <c r="E52" s="2204"/>
      <c r="F52" s="2383"/>
      <c r="G52" s="2427"/>
      <c r="H52" s="1500"/>
      <c r="I52" s="651" t="s">
        <v>1152</v>
      </c>
      <c r="J52" s="571"/>
      <c r="K52" s="1500"/>
      <c r="L52" s="214"/>
      <c r="M52" s="2170"/>
      <c r="N52" s="334"/>
      <c r="O52" s="1624"/>
      <c r="P52" s="1624"/>
      <c r="AH52" s="1631">
        <v>0</v>
      </c>
    </row>
    <row s="1635" customFormat="1" customHeight="1" ht="0.75" hidden="1">
      <c r="A53" s="1780"/>
      <c r="B53" s="1780"/>
      <c r="C53" s="369" t="s">
        <v>1157</v>
      </c>
      <c r="D53" s="2462"/>
      <c r="E53" s="2204"/>
      <c r="F53" s="2383"/>
      <c r="G53" s="400"/>
      <c r="H53" s="1500"/>
      <c r="I53" s="651"/>
      <c r="J53" s="571"/>
      <c r="K53" s="1500"/>
      <c r="L53" s="214"/>
      <c r="M53" s="2170"/>
      <c r="N53" s="334"/>
      <c r="O53" s="1624"/>
      <c r="P53" s="1624"/>
      <c r="AH53" s="1631">
        <v>0</v>
      </c>
    </row>
    <row s="1635" customFormat="1" customHeight="1" ht="18.75" hidden="1">
      <c r="A54" s="1780" t="s">
        <v>238</v>
      </c>
      <c r="B54" s="1780" t="s">
        <v>239</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314</v>
      </c>
      <c r="M54" s="2170"/>
      <c r="N54" s="334"/>
      <c r="O54" s="1624"/>
      <c r="P54" s="1624"/>
      <c r="AH54" s="1631">
        <v>0</v>
      </c>
    </row>
    <row s="1635" customFormat="1" customHeight="1" ht="18.75" hidden="1">
      <c r="A55" s="1780"/>
      <c r="B55" s="1780"/>
      <c r="C55" s="369" t="s">
        <v>1151</v>
      </c>
      <c r="D55" s="2462"/>
      <c r="E55" s="2204"/>
      <c r="F55" s="2383"/>
      <c r="G55" s="2427"/>
      <c r="H55" s="1500"/>
      <c r="I55" s="651" t="s">
        <v>1152</v>
      </c>
      <c r="J55" s="571"/>
      <c r="K55" s="1500"/>
      <c r="L55" s="214"/>
      <c r="M55" s="2170"/>
      <c r="N55" s="334"/>
      <c r="O55" s="1624"/>
      <c r="P55" s="1624"/>
      <c r="AH55" s="1631">
        <v>0</v>
      </c>
    </row>
    <row s="1635" customFormat="1" customHeight="1" ht="0.75" hidden="1">
      <c r="A56" s="1780"/>
      <c r="B56" s="1780"/>
      <c r="C56" s="369" t="s">
        <v>1157</v>
      </c>
      <c r="D56" s="2462"/>
      <c r="E56" s="2204"/>
      <c r="F56" s="2383"/>
      <c r="G56" s="400"/>
      <c r="H56" s="1500"/>
      <c r="I56" s="651"/>
      <c r="J56" s="571"/>
      <c r="K56" s="1500"/>
      <c r="L56" s="214"/>
      <c r="M56" s="2170"/>
      <c r="N56" s="334"/>
      <c r="O56" s="1624"/>
      <c r="P56" s="1624"/>
      <c r="AH56" s="1631">
        <v>0</v>
      </c>
    </row>
    <row s="1635" customFormat="1" customHeight="1" ht="18.75" hidden="1">
      <c r="A57" s="1780" t="s">
        <v>243</v>
      </c>
      <c r="B57" s="1780" t="s">
        <v>244</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314</v>
      </c>
      <c r="M57" s="2170"/>
      <c r="N57" s="334"/>
      <c r="O57" s="1624"/>
      <c r="P57" s="1624"/>
      <c r="AH57" s="1631">
        <v>0</v>
      </c>
    </row>
    <row s="1635" customFormat="1" customHeight="1" ht="18.75" hidden="1">
      <c r="A58" s="1780"/>
      <c r="B58" s="1780"/>
      <c r="C58" s="369" t="s">
        <v>1151</v>
      </c>
      <c r="D58" s="2462"/>
      <c r="E58" s="2204"/>
      <c r="F58" s="2383"/>
      <c r="G58" s="2427"/>
      <c r="H58" s="1500"/>
      <c r="I58" s="651" t="s">
        <v>1152</v>
      </c>
      <c r="J58" s="571"/>
      <c r="K58" s="1500"/>
      <c r="L58" s="214"/>
      <c r="M58" s="2170"/>
      <c r="N58" s="334"/>
      <c r="O58" s="1624"/>
      <c r="P58" s="1624"/>
      <c r="AH58" s="1631">
        <v>0</v>
      </c>
    </row>
    <row s="1635" customFormat="1" customHeight="1" ht="0.75" hidden="1">
      <c r="A59" s="1780"/>
      <c r="B59" s="1780"/>
      <c r="C59" s="369" t="s">
        <v>1157</v>
      </c>
      <c r="D59" s="2462"/>
      <c r="E59" s="2204"/>
      <c r="F59" s="2383"/>
      <c r="G59" s="400"/>
      <c r="H59" s="1500"/>
      <c r="I59" s="651"/>
      <c r="J59" s="571"/>
      <c r="K59" s="1500"/>
      <c r="L59" s="214"/>
      <c r="M59" s="2170"/>
      <c r="N59" s="334"/>
      <c r="O59" s="1624"/>
      <c r="P59" s="1624"/>
      <c r="AH59" s="1631">
        <v>0</v>
      </c>
    </row>
    <row s="1635" customFormat="1" customHeight="1" ht="18.75" hidden="1">
      <c r="A60" s="1780" t="s">
        <v>248</v>
      </c>
      <c r="B60" s="1780" t="s">
        <v>249</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314</v>
      </c>
      <c r="M60" s="2170"/>
      <c r="N60" s="334"/>
      <c r="O60" s="1624"/>
      <c r="P60" s="1624"/>
      <c r="AH60" s="1631">
        <v>0</v>
      </c>
    </row>
    <row s="1635" customFormat="1" customHeight="1" ht="18.75" hidden="1">
      <c r="A61" s="1780"/>
      <c r="B61" s="1780"/>
      <c r="C61" s="369" t="s">
        <v>1151</v>
      </c>
      <c r="D61" s="2462"/>
      <c r="E61" s="2204"/>
      <c r="F61" s="2383"/>
      <c r="G61" s="2427"/>
      <c r="H61" s="1500"/>
      <c r="I61" s="651" t="s">
        <v>1152</v>
      </c>
      <c r="J61" s="571"/>
      <c r="K61" s="1500"/>
      <c r="L61" s="214"/>
      <c r="M61" s="2170"/>
      <c r="N61" s="334"/>
      <c r="O61" s="1624"/>
      <c r="P61" s="1624"/>
      <c r="AH61" s="1631">
        <v>0</v>
      </c>
    </row>
    <row s="1635" customFormat="1" customHeight="1" ht="0.75" hidden="1">
      <c r="A62" s="1780"/>
      <c r="B62" s="1780"/>
      <c r="C62" s="369" t="s">
        <v>1157</v>
      </c>
      <c r="D62" s="2462"/>
      <c r="E62" s="2204"/>
      <c r="F62" s="2383"/>
      <c r="G62" s="400"/>
      <c r="H62" s="1500"/>
      <c r="I62" s="651"/>
      <c r="J62" s="571"/>
      <c r="K62" s="1500"/>
      <c r="L62" s="214"/>
      <c r="M62" s="2170"/>
      <c r="N62" s="334"/>
      <c r="O62" s="1624"/>
      <c r="P62" s="1624"/>
      <c r="AH62" s="1631">
        <v>0</v>
      </c>
    </row>
    <row s="1635" customFormat="1" customHeight="1" ht="18.75" hidden="1">
      <c r="A63" s="1780" t="s">
        <v>253</v>
      </c>
      <c r="B63" s="1780" t="s">
        <v>254</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314</v>
      </c>
      <c r="M63" s="2170"/>
      <c r="N63" s="334"/>
      <c r="O63" s="1624"/>
      <c r="P63" s="1624"/>
      <c r="AH63" s="1631">
        <v>0</v>
      </c>
    </row>
    <row s="1635" customFormat="1" customHeight="1" ht="18.75" hidden="1">
      <c r="A64" s="1780"/>
      <c r="B64" s="1780"/>
      <c r="C64" s="369" t="s">
        <v>1151</v>
      </c>
      <c r="D64" s="2462"/>
      <c r="E64" s="2204"/>
      <c r="F64" s="2383"/>
      <c r="G64" s="2427"/>
      <c r="H64" s="1500"/>
      <c r="I64" s="651" t="s">
        <v>1152</v>
      </c>
      <c r="J64" s="571"/>
      <c r="K64" s="1500"/>
      <c r="L64" s="214"/>
      <c r="M64" s="2170"/>
      <c r="N64" s="334"/>
      <c r="O64" s="1624"/>
      <c r="P64" s="1624"/>
      <c r="AH64" s="1631">
        <v>0</v>
      </c>
    </row>
    <row s="1635" customFormat="1" customHeight="1" ht="0.75" hidden="1">
      <c r="A65" s="1780"/>
      <c r="B65" s="1780"/>
      <c r="C65" s="369" t="s">
        <v>1157</v>
      </c>
      <c r="D65" s="2462"/>
      <c r="E65" s="2204"/>
      <c r="F65" s="2383"/>
      <c r="G65" s="400"/>
      <c r="H65" s="1500"/>
      <c r="I65" s="651"/>
      <c r="J65" s="571"/>
      <c r="K65" s="1500"/>
      <c r="L65" s="214"/>
      <c r="M65" s="2170"/>
      <c r="N65" s="334"/>
      <c r="O65" s="1624"/>
      <c r="P65" s="1624"/>
      <c r="AH65" s="1631">
        <v>0</v>
      </c>
    </row>
    <row s="1635" customFormat="1" customHeight="1" ht="18.75" hidden="1">
      <c r="A66" s="1780" t="s">
        <v>258</v>
      </c>
      <c r="B66" s="1780" t="s">
        <v>259</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314</v>
      </c>
      <c r="M66" s="2170"/>
      <c r="N66" s="334"/>
      <c r="O66" s="1624"/>
      <c r="P66" s="1624"/>
      <c r="AH66" s="1631">
        <v>0</v>
      </c>
    </row>
    <row s="1635" customFormat="1" customHeight="1" ht="18.75" hidden="1">
      <c r="A67" s="1780"/>
      <c r="B67" s="1780"/>
      <c r="C67" s="369" t="s">
        <v>1151</v>
      </c>
      <c r="D67" s="2462"/>
      <c r="E67" s="2204"/>
      <c r="F67" s="2383"/>
      <c r="G67" s="2427"/>
      <c r="H67" s="1500"/>
      <c r="I67" s="651" t="s">
        <v>1152</v>
      </c>
      <c r="J67" s="571"/>
      <c r="K67" s="1500"/>
      <c r="L67" s="214"/>
      <c r="M67" s="2170"/>
      <c r="N67" s="334"/>
      <c r="O67" s="1624"/>
      <c r="P67" s="1624"/>
      <c r="AH67" s="1631">
        <v>0</v>
      </c>
    </row>
    <row s="1635" customFormat="1" customHeight="1" ht="0.75" hidden="1">
      <c r="A68" s="1780"/>
      <c r="B68" s="1780"/>
      <c r="C68" s="369" t="s">
        <v>1157</v>
      </c>
      <c r="D68" s="2462"/>
      <c r="E68" s="2204"/>
      <c r="F68" s="2383"/>
      <c r="G68" s="400"/>
      <c r="H68" s="1500"/>
      <c r="I68" s="651"/>
      <c r="J68" s="571"/>
      <c r="K68" s="1500"/>
      <c r="L68" s="214"/>
      <c r="M68" s="2170"/>
      <c r="N68" s="334"/>
      <c r="O68" s="1624"/>
      <c r="P68" s="1624"/>
      <c r="AH68" s="1631">
        <v>0</v>
      </c>
    </row>
    <row s="1635" customFormat="1" customHeight="1" ht="18.75" hidden="1">
      <c r="A69" s="1780" t="s">
        <v>263</v>
      </c>
      <c r="B69" s="1780" t="s">
        <v>264</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314</v>
      </c>
      <c r="M69" s="2170"/>
      <c r="N69" s="334"/>
      <c r="O69" s="1624"/>
      <c r="P69" s="1624"/>
      <c r="AH69" s="1631">
        <v>0</v>
      </c>
    </row>
    <row s="1635" customFormat="1" customHeight="1" ht="18.75" hidden="1">
      <c r="A70" s="1780"/>
      <c r="B70" s="1780"/>
      <c r="C70" s="369" t="s">
        <v>1151</v>
      </c>
      <c r="D70" s="2462"/>
      <c r="E70" s="2204"/>
      <c r="F70" s="2383"/>
      <c r="G70" s="2427"/>
      <c r="H70" s="1500"/>
      <c r="I70" s="651" t="s">
        <v>1152</v>
      </c>
      <c r="J70" s="571"/>
      <c r="K70" s="1500"/>
      <c r="L70" s="214"/>
      <c r="M70" s="2170"/>
      <c r="N70" s="334"/>
      <c r="O70" s="1624"/>
      <c r="P70" s="1624"/>
      <c r="AH70" s="1631">
        <v>0</v>
      </c>
    </row>
    <row s="1635" customFormat="1" customHeight="1" ht="0.75" hidden="1">
      <c r="A71" s="1780"/>
      <c r="B71" s="1780"/>
      <c r="C71" s="369" t="s">
        <v>1157</v>
      </c>
      <c r="D71" s="2462"/>
      <c r="E71" s="2204"/>
      <c r="F71" s="2383"/>
      <c r="G71" s="400"/>
      <c r="H71" s="1500"/>
      <c r="I71" s="651"/>
      <c r="J71" s="571"/>
      <c r="K71" s="1500"/>
      <c r="L71" s="214"/>
      <c r="M71" s="2170"/>
      <c r="N71" s="334"/>
      <c r="O71" s="1624"/>
      <c r="P71" s="1624"/>
      <c r="AH71" s="1631">
        <v>0</v>
      </c>
    </row>
    <row s="1635" customFormat="1" customHeight="1" ht="18.75" hidden="1">
      <c r="A72" s="1780" t="s">
        <v>268</v>
      </c>
      <c r="B72" s="1780" t="s">
        <v>269</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314</v>
      </c>
      <c r="M72" s="2170"/>
      <c r="N72" s="334"/>
      <c r="O72" s="1624"/>
      <c r="P72" s="1624"/>
      <c r="AH72" s="1631">
        <v>0</v>
      </c>
    </row>
    <row s="1635" customFormat="1" customHeight="1" ht="18.75" hidden="1">
      <c r="A73" s="1780"/>
      <c r="B73" s="1780"/>
      <c r="C73" s="369" t="s">
        <v>1151</v>
      </c>
      <c r="D73" s="2462"/>
      <c r="E73" s="2204"/>
      <c r="F73" s="2383"/>
      <c r="G73" s="2427"/>
      <c r="H73" s="1500"/>
      <c r="I73" s="651" t="s">
        <v>1152</v>
      </c>
      <c r="J73" s="571"/>
      <c r="K73" s="1500"/>
      <c r="L73" s="214"/>
      <c r="M73" s="2170"/>
      <c r="N73" s="334"/>
      <c r="O73" s="1624"/>
      <c r="P73" s="1624"/>
      <c r="AH73" s="1631">
        <v>0</v>
      </c>
    </row>
    <row s="1635" customFormat="1" customHeight="1" ht="0.75" hidden="1">
      <c r="A74" s="1780"/>
      <c r="B74" s="1780"/>
      <c r="C74" s="369" t="s">
        <v>1157</v>
      </c>
      <c r="D74" s="2462"/>
      <c r="E74" s="2204"/>
      <c r="F74" s="2383"/>
      <c r="G74" s="400"/>
      <c r="H74" s="1500"/>
      <c r="I74" s="651"/>
      <c r="J74" s="571"/>
      <c r="K74" s="1500"/>
      <c r="L74" s="214"/>
      <c r="M74" s="2170"/>
      <c r="N74" s="334"/>
      <c r="O74" s="1624"/>
      <c r="P74" s="1624"/>
      <c r="AH74" s="1631">
        <v>0</v>
      </c>
    </row>
    <row s="1635" customFormat="1" customHeight="1" ht="18.75" hidden="1">
      <c r="A75" s="1780" t="s">
        <v>273</v>
      </c>
      <c r="B75" s="1780" t="s">
        <v>274</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314</v>
      </c>
      <c r="M75" s="2170"/>
      <c r="N75" s="334"/>
      <c r="O75" s="1624"/>
      <c r="P75" s="1624"/>
      <c r="AH75" s="1631">
        <v>0</v>
      </c>
    </row>
    <row s="1635" customFormat="1" customHeight="1" ht="18.75" hidden="1">
      <c r="A76" s="1780"/>
      <c r="B76" s="1780"/>
      <c r="C76" s="369" t="s">
        <v>1151</v>
      </c>
      <c r="D76" s="2462"/>
      <c r="E76" s="2204"/>
      <c r="F76" s="2383"/>
      <c r="G76" s="2427"/>
      <c r="H76" s="1500"/>
      <c r="I76" s="651" t="s">
        <v>1152</v>
      </c>
      <c r="J76" s="571"/>
      <c r="K76" s="1500"/>
      <c r="L76" s="214"/>
      <c r="M76" s="2170"/>
      <c r="N76" s="334"/>
      <c r="O76" s="1624"/>
      <c r="P76" s="1624"/>
      <c r="AH76" s="1631">
        <v>0</v>
      </c>
    </row>
    <row s="1635" customFormat="1" customHeight="1" ht="0.75" hidden="1">
      <c r="A77" s="1780"/>
      <c r="B77" s="1780"/>
      <c r="C77" s="369" t="s">
        <v>1157</v>
      </c>
      <c r="D77" s="2462"/>
      <c r="E77" s="2204"/>
      <c r="F77" s="2383"/>
      <c r="G77" s="400"/>
      <c r="H77" s="1500"/>
      <c r="I77" s="651"/>
      <c r="J77" s="571"/>
      <c r="K77" s="1500"/>
      <c r="L77" s="214"/>
      <c r="M77" s="2170"/>
      <c r="N77" s="334"/>
      <c r="O77" s="1624"/>
      <c r="P77" s="1624"/>
      <c r="AH77" s="1631">
        <v>0</v>
      </c>
    </row>
    <row s="1635" customFormat="1" customHeight="1" ht="18.75" hidden="1">
      <c r="A78" s="1780" t="s">
        <v>278</v>
      </c>
      <c r="B78" s="1780" t="s">
        <v>279</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
      </c>
      <c r="H78" s="1862"/>
      <c r="I78" s="1739"/>
      <c r="J78" s="1773"/>
      <c r="K78" s="1865"/>
      <c r="L78" s="1862" t="s">
        <v>314</v>
      </c>
      <c r="M78" s="2170"/>
      <c r="N78" s="334"/>
      <c r="O78" s="1624"/>
      <c r="P78" s="1624"/>
      <c r="AH78" s="1631">
        <v>0</v>
      </c>
    </row>
    <row s="1635" customFormat="1" customHeight="1" ht="18.75" hidden="1">
      <c r="A79" s="1780"/>
      <c r="B79" s="1780"/>
      <c r="C79" s="369" t="s">
        <v>1151</v>
      </c>
      <c r="D79" s="2462"/>
      <c r="E79" s="2204"/>
      <c r="F79" s="2383"/>
      <c r="G79" s="2427"/>
      <c r="H79" s="1500"/>
      <c r="I79" s="651" t="s">
        <v>1152</v>
      </c>
      <c r="J79" s="571"/>
      <c r="K79" s="1500"/>
      <c r="L79" s="214"/>
      <c r="M79" s="2170"/>
      <c r="N79" s="334"/>
      <c r="O79" s="1624"/>
      <c r="P79" s="1624"/>
      <c r="AH79" s="1631">
        <v>0</v>
      </c>
    </row>
    <row s="1635" customFormat="1" customHeight="1" ht="0.75" hidden="1">
      <c r="A80" s="1780"/>
      <c r="B80" s="1780"/>
      <c r="C80" s="369" t="s">
        <v>1157</v>
      </c>
      <c r="D80" s="2462"/>
      <c r="E80" s="2204"/>
      <c r="F80" s="2383"/>
      <c r="G80" s="400"/>
      <c r="H80" s="1500"/>
      <c r="I80" s="651"/>
      <c r="J80" s="571"/>
      <c r="K80" s="1500"/>
      <c r="L80" s="214"/>
      <c r="M80" s="2170"/>
      <c r="N80" s="334"/>
      <c r="O80" s="1624"/>
      <c r="P80" s="1624"/>
      <c r="AH80" s="1631">
        <v>0</v>
      </c>
    </row>
    <row s="1635" customFormat="1" customHeight="1" ht="18.75" hidden="1">
      <c r="A81" s="1780" t="s">
        <v>283</v>
      </c>
      <c r="B81" s="1780" t="s">
        <v>284</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314</v>
      </c>
      <c r="M81" s="2170"/>
      <c r="N81" s="334"/>
      <c r="O81" s="1624"/>
      <c r="P81" s="1624"/>
      <c r="AH81" s="1631">
        <v>0</v>
      </c>
    </row>
    <row s="1635" customFormat="1" customHeight="1" ht="18.75" hidden="1">
      <c r="A82" s="1780"/>
      <c r="B82" s="1780"/>
      <c r="C82" s="369" t="s">
        <v>1151</v>
      </c>
      <c r="D82" s="2462"/>
      <c r="E82" s="2204"/>
      <c r="F82" s="2383"/>
      <c r="G82" s="2427"/>
      <c r="H82" s="1500"/>
      <c r="I82" s="651" t="s">
        <v>1152</v>
      </c>
      <c r="J82" s="571"/>
      <c r="K82" s="1500"/>
      <c r="L82" s="214"/>
      <c r="M82" s="2170"/>
      <c r="N82" s="334"/>
      <c r="O82" s="1624"/>
      <c r="P82" s="1624"/>
      <c r="AH82" s="1631">
        <v>0</v>
      </c>
    </row>
    <row s="1635" customFormat="1" customHeight="1" ht="1.05">
      <c r="A83" s="1780"/>
      <c r="B83" s="1780"/>
      <c r="C83" s="369" t="s">
        <v>1157</v>
      </c>
      <c r="D83" s="2462"/>
      <c r="E83" s="2204"/>
      <c r="F83" s="2383"/>
      <c r="G83" s="400"/>
      <c r="H83" s="1500"/>
      <c r="I83" s="651"/>
      <c r="J83" s="571"/>
      <c r="K83" s="1500"/>
      <c r="L83" s="214"/>
      <c r="M83" s="2170"/>
      <c r="N83" s="334"/>
      <c r="O83" s="1624"/>
      <c r="P83" s="1624"/>
      <c r="AH83" s="1631">
        <v>1</v>
      </c>
    </row>
    <row customHeight="1" ht="19.95">
      <c r="A84" s="1780"/>
      <c r="B84" s="1780"/>
      <c r="D84" s="376"/>
      <c r="E84" s="147" t="s">
        <v>114</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0"/>
      <c r="H84" s="2460"/>
      <c r="I84" s="2460"/>
      <c r="J84" s="2460"/>
      <c r="K84" s="2460"/>
      <c r="L84" s="2460"/>
      <c r="M84" s="297"/>
      <c r="N84" s="334"/>
      <c r="AH84" s="374">
        <v>19</v>
      </c>
    </row>
    <row customHeight="1" ht="35.699999999999996">
      <c r="A85" s="1780"/>
      <c r="B85" s="1780"/>
      <c r="D85" s="376"/>
      <c r="E85" s="399"/>
      <c r="F85" s="198" t="s">
        <v>314</v>
      </c>
      <c r="G85" s="198" t="s">
        <v>314</v>
      </c>
      <c r="H85" s="2218" t="s">
        <v>314</v>
      </c>
      <c r="I85" s="2220"/>
      <c r="J85" s="198" t="s">
        <v>314</v>
      </c>
      <c r="K85" s="198" t="s">
        <v>314</v>
      </c>
      <c r="L85" s="401"/>
      <c r="M85" s="345" t="s">
        <v>1158</v>
      </c>
      <c r="N85" s="334"/>
      <c r="AH85" s="374">
        <v>34</v>
      </c>
    </row>
    <row customHeight="1" ht="19.95">
      <c r="A86" s="1780"/>
      <c r="B86" s="1780"/>
      <c r="D86" s="376"/>
      <c r="E86" s="147" t="s">
        <v>94</v>
      </c>
      <c r="F86" s="2460" t="s">
        <v>1159</v>
      </c>
      <c r="G86" s="2460"/>
      <c r="H86" s="2460"/>
      <c r="I86" s="2460"/>
      <c r="J86" s="2460"/>
      <c r="K86" s="2460"/>
      <c r="L86" s="2460"/>
      <c r="M86" s="297"/>
      <c r="N86" s="334"/>
      <c r="AH86" s="374">
        <v>19</v>
      </c>
    </row>
    <row s="1635" customFormat="1" customHeight="1" ht="60.75" hidden="1">
      <c r="A87" s="1780" t="s">
        <v>159</v>
      </c>
      <c r="B87" s="1780" t="s">
        <v>160</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314</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1153</v>
      </c>
      <c r="D88" s="2462"/>
      <c r="E88" s="2204"/>
      <c r="F88" s="2383"/>
      <c r="G88" s="2427"/>
      <c r="H88" s="1500"/>
      <c r="I88" s="651" t="s">
        <v>1152</v>
      </c>
      <c r="J88" s="571"/>
      <c r="K88" s="1500"/>
      <c r="L88" s="214"/>
      <c r="M88" s="2170"/>
      <c r="N88" s="334"/>
      <c r="O88" s="1624"/>
      <c r="P88" s="1624"/>
      <c r="AH88" s="1631">
        <v>0</v>
      </c>
    </row>
    <row s="1635" customFormat="1" customHeight="1" ht="0.75" hidden="1">
      <c r="A89" s="1780"/>
      <c r="B89" s="1780"/>
      <c r="C89" s="369" t="s">
        <v>1160</v>
      </c>
      <c r="D89" s="2462"/>
      <c r="E89" s="2204"/>
      <c r="F89" s="2383"/>
      <c r="G89" s="400"/>
      <c r="H89" s="1500"/>
      <c r="I89" s="651"/>
      <c r="J89" s="571"/>
      <c r="K89" s="1500"/>
      <c r="L89" s="214"/>
      <c r="M89" s="2170"/>
      <c r="N89" s="334"/>
      <c r="O89" s="1624"/>
      <c r="P89" s="1624"/>
      <c r="AH89" s="1631">
        <v>0</v>
      </c>
    </row>
    <row s="1635" customFormat="1" customHeight="1" ht="45" hidden="1">
      <c r="A90" s="1780" t="s">
        <v>167</v>
      </c>
      <c r="B90" s="1780" t="s">
        <v>168</v>
      </c>
      <c r="C90" s="369"/>
      <c r="D90" s="2462"/>
      <c r="E90" s="2204"/>
      <c r="F90" s="2383"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7" t="str">
        <f>INDEX(PT_DIFFERENTIATION_NTAR,MATCH(B90,PT_DIFFERENTIATION_NTAR_ID,0))</f>
        <v>одноставочный, руб/Гкал</v>
      </c>
      <c r="H90" s="1862"/>
      <c r="I90" s="1739"/>
      <c r="J90" s="1773"/>
      <c r="K90" s="1778"/>
      <c r="L90" s="1862" t="s">
        <v>314</v>
      </c>
      <c r="M90" s="2171"/>
      <c r="N90" s="334"/>
      <c r="O90" s="1624"/>
      <c r="P90" s="1624"/>
      <c r="AH90" s="1631">
        <v>0</v>
      </c>
    </row>
    <row s="1635" customFormat="1" customHeight="1" ht="18.75" hidden="1">
      <c r="A91" s="1780"/>
      <c r="B91" s="1780"/>
      <c r="C91" s="369" t="s">
        <v>1153</v>
      </c>
      <c r="D91" s="2462"/>
      <c r="E91" s="2204"/>
      <c r="F91" s="2383"/>
      <c r="G91" s="2427"/>
      <c r="H91" s="1500"/>
      <c r="I91" s="651" t="s">
        <v>1152</v>
      </c>
      <c r="J91" s="571"/>
      <c r="K91" s="1500"/>
      <c r="L91" s="214"/>
      <c r="M91" s="1861"/>
      <c r="N91" s="334"/>
      <c r="O91" s="1624"/>
      <c r="P91" s="1624"/>
      <c r="AH91" s="1631">
        <v>0</v>
      </c>
    </row>
    <row s="1635" customFormat="1" customHeight="1" ht="0.75" hidden="1">
      <c r="A92" s="1780"/>
      <c r="B92" s="1780"/>
      <c r="C92" s="369" t="s">
        <v>1160</v>
      </c>
      <c r="D92" s="2462"/>
      <c r="E92" s="2204"/>
      <c r="F92" s="2383"/>
      <c r="G92" s="400"/>
      <c r="H92" s="1500"/>
      <c r="I92" s="651"/>
      <c r="J92" s="571"/>
      <c r="K92" s="1500"/>
      <c r="L92" s="214"/>
      <c r="M92" s="341"/>
      <c r="N92" s="334"/>
      <c r="O92" s="1624"/>
      <c r="P92" s="1624"/>
      <c r="AH92" s="1631">
        <v>0</v>
      </c>
    </row>
    <row s="1635" customFormat="1" customHeight="1" ht="45" hidden="1">
      <c r="A93" s="1780" t="s">
        <v>177</v>
      </c>
      <c r="B93" s="1780" t="s">
        <v>178</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314</v>
      </c>
      <c r="M93" s="341"/>
      <c r="N93" s="334"/>
      <c r="O93" s="1624"/>
      <c r="P93" s="1624"/>
      <c r="AH93" s="1631">
        <v>0</v>
      </c>
    </row>
    <row s="1635" customFormat="1" customHeight="1" ht="18.75" hidden="1">
      <c r="A94" s="1780"/>
      <c r="B94" s="1780"/>
      <c r="C94" s="369" t="s">
        <v>1153</v>
      </c>
      <c r="D94" s="2462"/>
      <c r="E94" s="2204"/>
      <c r="F94" s="2383"/>
      <c r="G94" s="2427"/>
      <c r="H94" s="1500"/>
      <c r="I94" s="651" t="s">
        <v>1152</v>
      </c>
      <c r="J94" s="571"/>
      <c r="K94" s="1500"/>
      <c r="L94" s="214"/>
      <c r="M94" s="341"/>
      <c r="N94" s="334"/>
      <c r="O94" s="1624"/>
      <c r="P94" s="1624"/>
      <c r="AH94" s="1631">
        <v>0</v>
      </c>
    </row>
    <row s="1635" customFormat="1" customHeight="1" ht="0.75" hidden="1">
      <c r="A95" s="1780"/>
      <c r="B95" s="1780"/>
      <c r="C95" s="369" t="s">
        <v>1160</v>
      </c>
      <c r="D95" s="2462"/>
      <c r="E95" s="2204"/>
      <c r="F95" s="2383"/>
      <c r="G95" s="400"/>
      <c r="H95" s="1500"/>
      <c r="I95" s="651"/>
      <c r="J95" s="571"/>
      <c r="K95" s="1500"/>
      <c r="L95" s="214"/>
      <c r="M95" s="341"/>
      <c r="N95" s="334"/>
      <c r="O95" s="1624"/>
      <c r="P95" s="1624"/>
      <c r="AH95" s="1631">
        <v>0</v>
      </c>
    </row>
    <row s="1635" customFormat="1" customHeight="1" ht="45" hidden="1">
      <c r="A96" s="1780" t="s">
        <v>183</v>
      </c>
      <c r="B96" s="1780" t="s">
        <v>184</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314</v>
      </c>
      <c r="M96" s="341"/>
      <c r="N96" s="334"/>
      <c r="O96" s="1624"/>
      <c r="P96" s="1624"/>
      <c r="AH96" s="1631">
        <v>0</v>
      </c>
    </row>
    <row s="1635" customFormat="1" customHeight="1" ht="18.75" hidden="1">
      <c r="A97" s="1780"/>
      <c r="B97" s="1780"/>
      <c r="C97" s="369" t="s">
        <v>1153</v>
      </c>
      <c r="D97" s="2462"/>
      <c r="E97" s="2204"/>
      <c r="F97" s="2383"/>
      <c r="G97" s="2427"/>
      <c r="H97" s="1500"/>
      <c r="I97" s="651" t="s">
        <v>1152</v>
      </c>
      <c r="J97" s="571"/>
      <c r="K97" s="1500"/>
      <c r="L97" s="214"/>
      <c r="M97" s="341"/>
      <c r="N97" s="334"/>
      <c r="O97" s="1624"/>
      <c r="P97" s="1624"/>
      <c r="AH97" s="1631">
        <v>0</v>
      </c>
    </row>
    <row s="1635" customFormat="1" customHeight="1" ht="0.75" hidden="1">
      <c r="A98" s="1780"/>
      <c r="B98" s="1780"/>
      <c r="C98" s="369" t="s">
        <v>1160</v>
      </c>
      <c r="D98" s="2462"/>
      <c r="E98" s="2204"/>
      <c r="F98" s="2383"/>
      <c r="G98" s="400"/>
      <c r="H98" s="1500"/>
      <c r="I98" s="651"/>
      <c r="J98" s="571"/>
      <c r="K98" s="1500"/>
      <c r="L98" s="214"/>
      <c r="M98" s="341"/>
      <c r="N98" s="334"/>
      <c r="O98" s="1624"/>
      <c r="P98" s="1624"/>
      <c r="AH98" s="1631">
        <v>0</v>
      </c>
    </row>
    <row s="1635" customFormat="1" customHeight="1" ht="18.75" hidden="1">
      <c r="A99" s="1780" t="s">
        <v>189</v>
      </c>
      <c r="B99" s="1780" t="s">
        <v>190</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314</v>
      </c>
      <c r="M99" s="341"/>
      <c r="N99" s="334"/>
      <c r="O99" s="1624"/>
      <c r="P99" s="1624"/>
      <c r="AH99" s="1631">
        <v>0</v>
      </c>
    </row>
    <row s="1635" customFormat="1" customHeight="1" ht="18.75" hidden="1">
      <c r="A100" s="1780"/>
      <c r="B100" s="1780"/>
      <c r="C100" s="369" t="s">
        <v>1153</v>
      </c>
      <c r="D100" s="2462"/>
      <c r="E100" s="2204"/>
      <c r="F100" s="2383"/>
      <c r="G100" s="2427"/>
      <c r="H100" s="1500"/>
      <c r="I100" s="651" t="s">
        <v>1152</v>
      </c>
      <c r="J100" s="571"/>
      <c r="K100" s="1500"/>
      <c r="L100" s="214"/>
      <c r="M100" s="341"/>
      <c r="N100" s="334"/>
      <c r="O100" s="1624"/>
      <c r="P100" s="1624"/>
      <c r="AH100" s="1631">
        <v>0</v>
      </c>
    </row>
    <row s="1635" customFormat="1" customHeight="1" ht="0.75" hidden="1">
      <c r="A101" s="1780"/>
      <c r="B101" s="1780"/>
      <c r="C101" s="369" t="s">
        <v>1160</v>
      </c>
      <c r="D101" s="2462"/>
      <c r="E101" s="2204"/>
      <c r="F101" s="2383"/>
      <c r="G101" s="400"/>
      <c r="H101" s="1500"/>
      <c r="I101" s="651"/>
      <c r="J101" s="571"/>
      <c r="K101" s="1500"/>
      <c r="L101" s="214"/>
      <c r="M101" s="341"/>
      <c r="N101" s="334"/>
      <c r="O101" s="1624"/>
      <c r="P101" s="1624"/>
      <c r="AH101" s="1631">
        <v>0</v>
      </c>
    </row>
    <row s="1635" customFormat="1" customHeight="1" ht="18.75" hidden="1">
      <c r="A102" s="1780" t="s">
        <v>195</v>
      </c>
      <c r="B102" s="1780" t="s">
        <v>196</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314</v>
      </c>
      <c r="M102" s="341"/>
      <c r="N102" s="334"/>
      <c r="O102" s="1624"/>
      <c r="P102" s="1624"/>
      <c r="AH102" s="1631">
        <v>0</v>
      </c>
    </row>
    <row s="1635" customFormat="1" customHeight="1" ht="18.75" hidden="1">
      <c r="A103" s="1780"/>
      <c r="B103" s="1780"/>
      <c r="C103" s="369" t="s">
        <v>1153</v>
      </c>
      <c r="D103" s="2462"/>
      <c r="E103" s="2204"/>
      <c r="F103" s="2383"/>
      <c r="G103" s="2427"/>
      <c r="H103" s="1500"/>
      <c r="I103" s="651" t="s">
        <v>1152</v>
      </c>
      <c r="J103" s="571"/>
      <c r="K103" s="1500"/>
      <c r="L103" s="214"/>
      <c r="M103" s="341"/>
      <c r="N103" s="334"/>
      <c r="O103" s="1624"/>
      <c r="P103" s="1624"/>
      <c r="AH103" s="1631">
        <v>0</v>
      </c>
    </row>
    <row s="1635" customFormat="1" customHeight="1" ht="0.75" hidden="1">
      <c r="A104" s="1780"/>
      <c r="B104" s="1780"/>
      <c r="C104" s="369" t="s">
        <v>1160</v>
      </c>
      <c r="D104" s="2462"/>
      <c r="E104" s="2204"/>
      <c r="F104" s="2383"/>
      <c r="G104" s="400"/>
      <c r="H104" s="1500"/>
      <c r="I104" s="651"/>
      <c r="J104" s="571"/>
      <c r="K104" s="1500"/>
      <c r="L104" s="214"/>
      <c r="M104" s="341"/>
      <c r="N104" s="334"/>
      <c r="O104" s="1624"/>
      <c r="P104" s="1624"/>
      <c r="AH104" s="1631">
        <v>0</v>
      </c>
    </row>
    <row s="1635" customFormat="1" customHeight="1" ht="18.75" hidden="1">
      <c r="A105" s="1780" t="s">
        <v>201</v>
      </c>
      <c r="B105" s="1780" t="s">
        <v>202</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314</v>
      </c>
      <c r="M105" s="341"/>
      <c r="N105" s="334"/>
      <c r="O105" s="1624"/>
      <c r="P105" s="1624"/>
      <c r="AH105" s="1631">
        <v>0</v>
      </c>
    </row>
    <row s="1635" customFormat="1" customHeight="1" ht="18.75" hidden="1">
      <c r="A106" s="1780"/>
      <c r="B106" s="1780"/>
      <c r="C106" s="369" t="s">
        <v>1153</v>
      </c>
      <c r="D106" s="2462"/>
      <c r="E106" s="2204"/>
      <c r="F106" s="2383"/>
      <c r="G106" s="2427"/>
      <c r="H106" s="1500"/>
      <c r="I106" s="651" t="s">
        <v>1152</v>
      </c>
      <c r="J106" s="571"/>
      <c r="K106" s="1500"/>
      <c r="L106" s="214"/>
      <c r="M106" s="341"/>
      <c r="N106" s="334"/>
      <c r="O106" s="1624"/>
      <c r="P106" s="1624"/>
      <c r="AH106" s="1631">
        <v>0</v>
      </c>
    </row>
    <row s="1635" customFormat="1" customHeight="1" ht="0.75" hidden="1">
      <c r="A107" s="1780"/>
      <c r="B107" s="1780"/>
      <c r="C107" s="369" t="s">
        <v>1160</v>
      </c>
      <c r="D107" s="2462"/>
      <c r="E107" s="2204"/>
      <c r="F107" s="2383"/>
      <c r="G107" s="400"/>
      <c r="H107" s="1500"/>
      <c r="I107" s="651"/>
      <c r="J107" s="571"/>
      <c r="K107" s="1500"/>
      <c r="L107" s="214"/>
      <c r="M107" s="341"/>
      <c r="N107" s="334"/>
      <c r="O107" s="1624"/>
      <c r="P107" s="1624"/>
      <c r="AH107" s="1631">
        <v>0</v>
      </c>
    </row>
    <row s="1635" customFormat="1" customHeight="1" ht="18.75" hidden="1">
      <c r="A108" s="1780" t="s">
        <v>207</v>
      </c>
      <c r="B108" s="1780" t="s">
        <v>208</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314</v>
      </c>
      <c r="M108" s="341"/>
      <c r="N108" s="334"/>
      <c r="O108" s="1624"/>
      <c r="P108" s="1624"/>
      <c r="AH108" s="1631">
        <v>0</v>
      </c>
    </row>
    <row s="1635" customFormat="1" customHeight="1" ht="18.75" hidden="1">
      <c r="A109" s="1780"/>
      <c r="B109" s="1780"/>
      <c r="C109" s="369" t="s">
        <v>1153</v>
      </c>
      <c r="D109" s="2462"/>
      <c r="E109" s="2204"/>
      <c r="F109" s="2383"/>
      <c r="G109" s="2427"/>
      <c r="H109" s="1500"/>
      <c r="I109" s="651" t="s">
        <v>1152</v>
      </c>
      <c r="J109" s="571"/>
      <c r="K109" s="1500"/>
      <c r="L109" s="214"/>
      <c r="M109" s="341"/>
      <c r="N109" s="334"/>
      <c r="O109" s="1624"/>
      <c r="P109" s="1624"/>
      <c r="AH109" s="1631">
        <v>0</v>
      </c>
    </row>
    <row s="1635" customFormat="1" customHeight="1" ht="0.75" hidden="1">
      <c r="A110" s="1780"/>
      <c r="B110" s="1780"/>
      <c r="C110" s="369" t="s">
        <v>1160</v>
      </c>
      <c r="D110" s="2462"/>
      <c r="E110" s="2204"/>
      <c r="F110" s="2383"/>
      <c r="G110" s="400"/>
      <c r="H110" s="1500"/>
      <c r="I110" s="651"/>
      <c r="J110" s="571"/>
      <c r="K110" s="1500"/>
      <c r="L110" s="214"/>
      <c r="M110" s="341"/>
      <c r="N110" s="334"/>
      <c r="O110" s="1624"/>
      <c r="P110" s="1624"/>
      <c r="AH110" s="1631">
        <v>0</v>
      </c>
    </row>
    <row s="1635" customFormat="1" customHeight="1" ht="18.75" hidden="1">
      <c r="A111" s="1780" t="s">
        <v>213</v>
      </c>
      <c r="B111" s="1780" t="s">
        <v>214</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
      </c>
      <c r="H111" s="1989"/>
      <c r="I111" s="1739"/>
      <c r="J111" s="1773"/>
      <c r="K111" s="1778"/>
      <c r="L111" s="1989" t="s">
        <v>314</v>
      </c>
      <c r="M111" s="341"/>
      <c r="N111" s="334"/>
      <c r="O111" s="1624"/>
      <c r="P111" s="1624"/>
      <c r="AH111" s="1631">
        <v>0</v>
      </c>
    </row>
    <row s="1635" customFormat="1" customHeight="1" ht="18.75" hidden="1">
      <c r="A112" s="1780"/>
      <c r="B112" s="1780"/>
      <c r="C112" s="369" t="s">
        <v>1153</v>
      </c>
      <c r="D112" s="2462"/>
      <c r="E112" s="2204"/>
      <c r="F112" s="2383"/>
      <c r="G112" s="2427"/>
      <c r="H112" s="1500"/>
      <c r="I112" s="651" t="s">
        <v>1152</v>
      </c>
      <c r="J112" s="571"/>
      <c r="K112" s="1500"/>
      <c r="L112" s="214"/>
      <c r="M112" s="341"/>
      <c r="N112" s="334"/>
      <c r="O112" s="1624"/>
      <c r="P112" s="1624"/>
      <c r="AH112" s="1631">
        <v>0</v>
      </c>
    </row>
    <row s="1635" customFormat="1" customHeight="1" ht="0.75" hidden="1">
      <c r="A113" s="1780"/>
      <c r="B113" s="1780"/>
      <c r="C113" s="369" t="s">
        <v>1160</v>
      </c>
      <c r="D113" s="2462"/>
      <c r="E113" s="2204"/>
      <c r="F113" s="2383"/>
      <c r="G113" s="400"/>
      <c r="H113" s="1500"/>
      <c r="I113" s="651"/>
      <c r="J113" s="571"/>
      <c r="K113" s="1500"/>
      <c r="L113" s="214"/>
      <c r="M113" s="341"/>
      <c r="N113" s="334"/>
      <c r="O113" s="1624"/>
      <c r="P113" s="1624"/>
      <c r="AH113" s="1631">
        <v>0</v>
      </c>
    </row>
    <row s="1635" customFormat="1" customHeight="1" ht="18.75" hidden="1">
      <c r="A114" s="1780" t="s">
        <v>233</v>
      </c>
      <c r="B114" s="1780" t="s">
        <v>234</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
      </c>
      <c r="H114" s="1862"/>
      <c r="I114" s="1739"/>
      <c r="J114" s="1773"/>
      <c r="K114" s="1778"/>
      <c r="L114" s="1862" t="s">
        <v>314</v>
      </c>
      <c r="M114" s="341"/>
      <c r="N114" s="334"/>
      <c r="O114" s="1624"/>
      <c r="P114" s="1624"/>
      <c r="AH114" s="1631">
        <v>0</v>
      </c>
    </row>
    <row s="1635" customFormat="1" customHeight="1" ht="18.75" hidden="1">
      <c r="A115" s="1780"/>
      <c r="B115" s="1780"/>
      <c r="C115" s="369" t="s">
        <v>1153</v>
      </c>
      <c r="D115" s="2462"/>
      <c r="E115" s="2204"/>
      <c r="F115" s="2383"/>
      <c r="G115" s="2427"/>
      <c r="H115" s="1500"/>
      <c r="I115" s="651" t="s">
        <v>1152</v>
      </c>
      <c r="J115" s="571"/>
      <c r="K115" s="1500"/>
      <c r="L115" s="214"/>
      <c r="M115" s="341"/>
      <c r="N115" s="334"/>
      <c r="O115" s="1624"/>
      <c r="P115" s="1624"/>
      <c r="AH115" s="1631">
        <v>0</v>
      </c>
    </row>
    <row s="1635" customFormat="1" customHeight="1" ht="0.75" hidden="1">
      <c r="A116" s="1780"/>
      <c r="B116" s="1780"/>
      <c r="C116" s="369" t="s">
        <v>1160</v>
      </c>
      <c r="D116" s="2462"/>
      <c r="E116" s="2204"/>
      <c r="F116" s="2383"/>
      <c r="G116" s="400"/>
      <c r="H116" s="1500"/>
      <c r="I116" s="651"/>
      <c r="J116" s="571"/>
      <c r="K116" s="1500"/>
      <c r="L116" s="214"/>
      <c r="M116" s="341"/>
      <c r="N116" s="334"/>
      <c r="O116" s="1624"/>
      <c r="P116" s="1624"/>
      <c r="AH116" s="1631">
        <v>0</v>
      </c>
    </row>
    <row s="1635" customFormat="1" customHeight="1" ht="18.75" hidden="1">
      <c r="A117" s="1780" t="s">
        <v>238</v>
      </c>
      <c r="B117" s="1780" t="s">
        <v>239</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314</v>
      </c>
      <c r="M117" s="341"/>
      <c r="N117" s="334"/>
      <c r="O117" s="1624"/>
      <c r="P117" s="1624"/>
      <c r="AH117" s="1631">
        <v>0</v>
      </c>
    </row>
    <row s="1635" customFormat="1" customHeight="1" ht="18.75" hidden="1">
      <c r="A118" s="1780"/>
      <c r="B118" s="1780"/>
      <c r="C118" s="369" t="s">
        <v>1153</v>
      </c>
      <c r="D118" s="2462"/>
      <c r="E118" s="2204"/>
      <c r="F118" s="2383"/>
      <c r="G118" s="2427"/>
      <c r="H118" s="1500"/>
      <c r="I118" s="651" t="s">
        <v>1152</v>
      </c>
      <c r="J118" s="571"/>
      <c r="K118" s="1500"/>
      <c r="L118" s="214"/>
      <c r="M118" s="341"/>
      <c r="N118" s="334"/>
      <c r="O118" s="1624"/>
      <c r="P118" s="1624"/>
      <c r="AH118" s="1631">
        <v>0</v>
      </c>
    </row>
    <row s="1635" customFormat="1" customHeight="1" ht="0.75" hidden="1">
      <c r="A119" s="1780"/>
      <c r="B119" s="1780"/>
      <c r="C119" s="369" t="s">
        <v>1160</v>
      </c>
      <c r="D119" s="2462"/>
      <c r="E119" s="2204"/>
      <c r="F119" s="2383"/>
      <c r="G119" s="400"/>
      <c r="H119" s="1500"/>
      <c r="I119" s="651"/>
      <c r="J119" s="571"/>
      <c r="K119" s="1500"/>
      <c r="L119" s="214"/>
      <c r="M119" s="341"/>
      <c r="N119" s="334"/>
      <c r="O119" s="1624"/>
      <c r="P119" s="1624"/>
      <c r="AH119" s="1631">
        <v>0</v>
      </c>
    </row>
    <row s="1635" customFormat="1" customHeight="1" ht="18.75" hidden="1">
      <c r="A120" s="1780" t="s">
        <v>243</v>
      </c>
      <c r="B120" s="1780" t="s">
        <v>244</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314</v>
      </c>
      <c r="M120" s="341"/>
      <c r="N120" s="334"/>
      <c r="O120" s="1624"/>
      <c r="P120" s="1624"/>
      <c r="AH120" s="1631">
        <v>0</v>
      </c>
    </row>
    <row s="1635" customFormat="1" customHeight="1" ht="18.75" hidden="1">
      <c r="A121" s="1780"/>
      <c r="B121" s="1780"/>
      <c r="C121" s="369" t="s">
        <v>1153</v>
      </c>
      <c r="D121" s="2462"/>
      <c r="E121" s="2204"/>
      <c r="F121" s="2383"/>
      <c r="G121" s="2427"/>
      <c r="H121" s="1500"/>
      <c r="I121" s="651" t="s">
        <v>1152</v>
      </c>
      <c r="J121" s="571"/>
      <c r="K121" s="1500"/>
      <c r="L121" s="214"/>
      <c r="M121" s="341"/>
      <c r="N121" s="334"/>
      <c r="O121" s="1624"/>
      <c r="P121" s="1624"/>
      <c r="AH121" s="1631">
        <v>0</v>
      </c>
    </row>
    <row s="1635" customFormat="1" customHeight="1" ht="0.75" hidden="1">
      <c r="A122" s="1780"/>
      <c r="B122" s="1780"/>
      <c r="C122" s="369" t="s">
        <v>1160</v>
      </c>
      <c r="D122" s="2462"/>
      <c r="E122" s="2204"/>
      <c r="F122" s="2383"/>
      <c r="G122" s="400"/>
      <c r="H122" s="1500"/>
      <c r="I122" s="651"/>
      <c r="J122" s="571"/>
      <c r="K122" s="1500"/>
      <c r="L122" s="214"/>
      <c r="M122" s="341"/>
      <c r="N122" s="334"/>
      <c r="O122" s="1624"/>
      <c r="P122" s="1624"/>
      <c r="AH122" s="1631">
        <v>0</v>
      </c>
    </row>
    <row s="1635" customFormat="1" customHeight="1" ht="18.75" hidden="1">
      <c r="A123" s="1780" t="s">
        <v>248</v>
      </c>
      <c r="B123" s="1780" t="s">
        <v>249</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314</v>
      </c>
      <c r="M123" s="341"/>
      <c r="N123" s="334"/>
      <c r="O123" s="1624"/>
      <c r="P123" s="1624"/>
      <c r="AH123" s="1631">
        <v>0</v>
      </c>
    </row>
    <row s="1635" customFormat="1" customHeight="1" ht="18.75" hidden="1">
      <c r="A124" s="1780"/>
      <c r="B124" s="1780"/>
      <c r="C124" s="369" t="s">
        <v>1153</v>
      </c>
      <c r="D124" s="2462"/>
      <c r="E124" s="2204"/>
      <c r="F124" s="2383"/>
      <c r="G124" s="2427"/>
      <c r="H124" s="1500"/>
      <c r="I124" s="651" t="s">
        <v>1152</v>
      </c>
      <c r="J124" s="571"/>
      <c r="K124" s="1500"/>
      <c r="L124" s="214"/>
      <c r="M124" s="341"/>
      <c r="N124" s="334"/>
      <c r="O124" s="1624"/>
      <c r="P124" s="1624"/>
      <c r="AH124" s="1631">
        <v>0</v>
      </c>
    </row>
    <row s="1635" customFormat="1" customHeight="1" ht="0.75" hidden="1">
      <c r="A125" s="1780"/>
      <c r="B125" s="1780"/>
      <c r="C125" s="369" t="s">
        <v>1160</v>
      </c>
      <c r="D125" s="2462"/>
      <c r="E125" s="2204"/>
      <c r="F125" s="2383"/>
      <c r="G125" s="400"/>
      <c r="H125" s="1500"/>
      <c r="I125" s="651"/>
      <c r="J125" s="571"/>
      <c r="K125" s="1500"/>
      <c r="L125" s="214"/>
      <c r="M125" s="341"/>
      <c r="N125" s="334"/>
      <c r="O125" s="1624"/>
      <c r="P125" s="1624"/>
      <c r="AH125" s="1631">
        <v>0</v>
      </c>
    </row>
    <row s="1635" customFormat="1" customHeight="1" ht="18.75" hidden="1">
      <c r="A126" s="1780" t="s">
        <v>253</v>
      </c>
      <c r="B126" s="1780" t="s">
        <v>254</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314</v>
      </c>
      <c r="M126" s="341"/>
      <c r="N126" s="334"/>
      <c r="O126" s="1624"/>
      <c r="P126" s="1624"/>
      <c r="AH126" s="1631">
        <v>0</v>
      </c>
    </row>
    <row s="1635" customFormat="1" customHeight="1" ht="18.75" hidden="1">
      <c r="A127" s="1780"/>
      <c r="B127" s="1780"/>
      <c r="C127" s="369" t="s">
        <v>1153</v>
      </c>
      <c r="D127" s="2462"/>
      <c r="E127" s="2204"/>
      <c r="F127" s="2383"/>
      <c r="G127" s="2427"/>
      <c r="H127" s="1500"/>
      <c r="I127" s="651" t="s">
        <v>1152</v>
      </c>
      <c r="J127" s="571"/>
      <c r="K127" s="1500"/>
      <c r="L127" s="214"/>
      <c r="M127" s="341"/>
      <c r="N127" s="334"/>
      <c r="O127" s="1624"/>
      <c r="P127" s="1624"/>
      <c r="AH127" s="1631">
        <v>0</v>
      </c>
    </row>
    <row s="1635" customFormat="1" customHeight="1" ht="0.75" hidden="1">
      <c r="A128" s="1780"/>
      <c r="B128" s="1780"/>
      <c r="C128" s="369" t="s">
        <v>1160</v>
      </c>
      <c r="D128" s="2462"/>
      <c r="E128" s="2204"/>
      <c r="F128" s="2383"/>
      <c r="G128" s="400"/>
      <c r="H128" s="1500"/>
      <c r="I128" s="651"/>
      <c r="J128" s="571"/>
      <c r="K128" s="1500"/>
      <c r="L128" s="214"/>
      <c r="M128" s="341"/>
      <c r="N128" s="334"/>
      <c r="O128" s="1624"/>
      <c r="P128" s="1624"/>
      <c r="AH128" s="1631">
        <v>0</v>
      </c>
    </row>
    <row s="1635" customFormat="1" customHeight="1" ht="18.75" hidden="1">
      <c r="A129" s="1780" t="s">
        <v>258</v>
      </c>
      <c r="B129" s="1780" t="s">
        <v>259</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314</v>
      </c>
      <c r="M129" s="341"/>
      <c r="N129" s="334"/>
      <c r="O129" s="1624"/>
      <c r="P129" s="1624"/>
      <c r="AH129" s="1631">
        <v>0</v>
      </c>
    </row>
    <row s="1635" customFormat="1" customHeight="1" ht="18.75" hidden="1">
      <c r="A130" s="1780"/>
      <c r="B130" s="1780"/>
      <c r="C130" s="369" t="s">
        <v>1153</v>
      </c>
      <c r="D130" s="2462"/>
      <c r="E130" s="2204"/>
      <c r="F130" s="2383"/>
      <c r="G130" s="2427"/>
      <c r="H130" s="1500"/>
      <c r="I130" s="651" t="s">
        <v>1152</v>
      </c>
      <c r="J130" s="571"/>
      <c r="K130" s="1500"/>
      <c r="L130" s="214"/>
      <c r="M130" s="341"/>
      <c r="N130" s="334"/>
      <c r="O130" s="1624"/>
      <c r="P130" s="1624"/>
      <c r="AH130" s="1631">
        <v>0</v>
      </c>
    </row>
    <row s="1635" customFormat="1" customHeight="1" ht="0.75" hidden="1">
      <c r="A131" s="1780"/>
      <c r="B131" s="1780"/>
      <c r="C131" s="369" t="s">
        <v>1160</v>
      </c>
      <c r="D131" s="2462"/>
      <c r="E131" s="2204"/>
      <c r="F131" s="2383"/>
      <c r="G131" s="400"/>
      <c r="H131" s="1500"/>
      <c r="I131" s="651"/>
      <c r="J131" s="571"/>
      <c r="K131" s="1500"/>
      <c r="L131" s="214"/>
      <c r="M131" s="341"/>
      <c r="N131" s="334"/>
      <c r="O131" s="1624"/>
      <c r="P131" s="1624"/>
      <c r="AH131" s="1631">
        <v>0</v>
      </c>
    </row>
    <row s="1635" customFormat="1" customHeight="1" ht="18.75" hidden="1">
      <c r="A132" s="1780" t="s">
        <v>263</v>
      </c>
      <c r="B132" s="1780" t="s">
        <v>264</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314</v>
      </c>
      <c r="M132" s="341"/>
      <c r="N132" s="334"/>
      <c r="O132" s="1624"/>
      <c r="P132" s="1624"/>
      <c r="AH132" s="1631">
        <v>0</v>
      </c>
    </row>
    <row s="1635" customFormat="1" customHeight="1" ht="18.75" hidden="1">
      <c r="A133" s="1780"/>
      <c r="B133" s="1780"/>
      <c r="C133" s="369" t="s">
        <v>1153</v>
      </c>
      <c r="D133" s="2462"/>
      <c r="E133" s="2204"/>
      <c r="F133" s="2383"/>
      <c r="G133" s="2427"/>
      <c r="H133" s="1500"/>
      <c r="I133" s="651" t="s">
        <v>1152</v>
      </c>
      <c r="J133" s="571"/>
      <c r="K133" s="1500"/>
      <c r="L133" s="214"/>
      <c r="M133" s="341"/>
      <c r="N133" s="334"/>
      <c r="O133" s="1624"/>
      <c r="P133" s="1624"/>
      <c r="AH133" s="1631">
        <v>0</v>
      </c>
    </row>
    <row s="1635" customFormat="1" customHeight="1" ht="0.75" hidden="1">
      <c r="A134" s="1780"/>
      <c r="B134" s="1780"/>
      <c r="C134" s="369" t="s">
        <v>1160</v>
      </c>
      <c r="D134" s="2462"/>
      <c r="E134" s="2204"/>
      <c r="F134" s="2383"/>
      <c r="G134" s="400"/>
      <c r="H134" s="1500"/>
      <c r="I134" s="651"/>
      <c r="J134" s="571"/>
      <c r="K134" s="1500"/>
      <c r="L134" s="214"/>
      <c r="M134" s="341"/>
      <c r="N134" s="334"/>
      <c r="O134" s="1624"/>
      <c r="P134" s="1624"/>
      <c r="AH134" s="1631">
        <v>0</v>
      </c>
    </row>
    <row s="1635" customFormat="1" customHeight="1" ht="18.75" hidden="1">
      <c r="A135" s="1780" t="s">
        <v>268</v>
      </c>
      <c r="B135" s="1780" t="s">
        <v>269</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314</v>
      </c>
      <c r="M135" s="341"/>
      <c r="N135" s="334"/>
      <c r="O135" s="1624"/>
      <c r="P135" s="1624"/>
      <c r="AH135" s="1631">
        <v>0</v>
      </c>
    </row>
    <row s="1635" customFormat="1" customHeight="1" ht="18.75" hidden="1">
      <c r="A136" s="1780"/>
      <c r="B136" s="1780"/>
      <c r="C136" s="369" t="s">
        <v>1153</v>
      </c>
      <c r="D136" s="2462"/>
      <c r="E136" s="2204"/>
      <c r="F136" s="2383"/>
      <c r="G136" s="2427"/>
      <c r="H136" s="1500"/>
      <c r="I136" s="651" t="s">
        <v>1152</v>
      </c>
      <c r="J136" s="571"/>
      <c r="K136" s="1500"/>
      <c r="L136" s="214"/>
      <c r="M136" s="341"/>
      <c r="N136" s="334"/>
      <c r="O136" s="1624"/>
      <c r="P136" s="1624"/>
      <c r="AH136" s="1631">
        <v>0</v>
      </c>
    </row>
    <row s="1635" customFormat="1" customHeight="1" ht="0.75" hidden="1">
      <c r="A137" s="1780"/>
      <c r="B137" s="1780"/>
      <c r="C137" s="369" t="s">
        <v>1160</v>
      </c>
      <c r="D137" s="2462"/>
      <c r="E137" s="2204"/>
      <c r="F137" s="2383"/>
      <c r="G137" s="400"/>
      <c r="H137" s="1500"/>
      <c r="I137" s="651"/>
      <c r="J137" s="571"/>
      <c r="K137" s="1500"/>
      <c r="L137" s="214"/>
      <c r="M137" s="341"/>
      <c r="N137" s="334"/>
      <c r="O137" s="1624"/>
      <c r="P137" s="1624"/>
      <c r="AH137" s="1631">
        <v>0</v>
      </c>
    </row>
    <row s="1635" customFormat="1" customHeight="1" ht="18.75" hidden="1">
      <c r="A138" s="1780" t="s">
        <v>273</v>
      </c>
      <c r="B138" s="1780" t="s">
        <v>274</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314</v>
      </c>
      <c r="M138" s="341"/>
      <c r="N138" s="334"/>
      <c r="O138" s="1624"/>
      <c r="P138" s="1624"/>
      <c r="AH138" s="1631">
        <v>0</v>
      </c>
    </row>
    <row s="1635" customFormat="1" customHeight="1" ht="18.75" hidden="1">
      <c r="A139" s="1780"/>
      <c r="B139" s="1780"/>
      <c r="C139" s="369" t="s">
        <v>1153</v>
      </c>
      <c r="D139" s="2462"/>
      <c r="E139" s="2204"/>
      <c r="F139" s="2383"/>
      <c r="G139" s="2427"/>
      <c r="H139" s="1500"/>
      <c r="I139" s="651" t="s">
        <v>1152</v>
      </c>
      <c r="J139" s="571"/>
      <c r="K139" s="1500"/>
      <c r="L139" s="214"/>
      <c r="M139" s="341"/>
      <c r="N139" s="334"/>
      <c r="O139" s="1624"/>
      <c r="P139" s="1624"/>
      <c r="AH139" s="1631">
        <v>0</v>
      </c>
    </row>
    <row s="1635" customFormat="1" customHeight="1" ht="0.75" hidden="1">
      <c r="A140" s="1780"/>
      <c r="B140" s="1780"/>
      <c r="C140" s="369" t="s">
        <v>1160</v>
      </c>
      <c r="D140" s="2462"/>
      <c r="E140" s="2204"/>
      <c r="F140" s="2383"/>
      <c r="G140" s="400"/>
      <c r="H140" s="1500"/>
      <c r="I140" s="651"/>
      <c r="J140" s="571"/>
      <c r="K140" s="1500"/>
      <c r="L140" s="214"/>
      <c r="M140" s="341"/>
      <c r="N140" s="334"/>
      <c r="O140" s="1624"/>
      <c r="P140" s="1624"/>
      <c r="AH140" s="1631">
        <v>0</v>
      </c>
    </row>
    <row s="1635" customFormat="1" customHeight="1" ht="18.75" hidden="1">
      <c r="A141" s="1780" t="s">
        <v>278</v>
      </c>
      <c r="B141" s="1780" t="s">
        <v>279</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
      </c>
      <c r="H141" s="1862"/>
      <c r="I141" s="1739"/>
      <c r="J141" s="1773"/>
      <c r="K141" s="1778"/>
      <c r="L141" s="1862" t="s">
        <v>314</v>
      </c>
      <c r="M141" s="341"/>
      <c r="N141" s="334"/>
      <c r="O141" s="1624"/>
      <c r="P141" s="1624"/>
      <c r="AH141" s="1631">
        <v>0</v>
      </c>
    </row>
    <row s="1635" customFormat="1" customHeight="1" ht="18.75" hidden="1">
      <c r="A142" s="1780"/>
      <c r="B142" s="1780"/>
      <c r="C142" s="369" t="s">
        <v>1153</v>
      </c>
      <c r="D142" s="2462"/>
      <c r="E142" s="2204"/>
      <c r="F142" s="2383"/>
      <c r="G142" s="2427"/>
      <c r="H142" s="1500"/>
      <c r="I142" s="651" t="s">
        <v>1152</v>
      </c>
      <c r="J142" s="571"/>
      <c r="K142" s="1500"/>
      <c r="L142" s="214"/>
      <c r="M142" s="341"/>
      <c r="N142" s="334"/>
      <c r="O142" s="1624"/>
      <c r="P142" s="1624"/>
      <c r="AH142" s="1631">
        <v>0</v>
      </c>
    </row>
    <row s="1635" customFormat="1" customHeight="1" ht="0.75" hidden="1">
      <c r="A143" s="1780"/>
      <c r="B143" s="1780"/>
      <c r="C143" s="369" t="s">
        <v>1160</v>
      </c>
      <c r="D143" s="2462"/>
      <c r="E143" s="2204"/>
      <c r="F143" s="2383"/>
      <c r="G143" s="400"/>
      <c r="H143" s="1500"/>
      <c r="I143" s="651"/>
      <c r="J143" s="571"/>
      <c r="K143" s="1500"/>
      <c r="L143" s="214"/>
      <c r="M143" s="341"/>
      <c r="N143" s="334"/>
      <c r="O143" s="1624"/>
      <c r="P143" s="1624"/>
      <c r="AH143" s="1631">
        <v>0</v>
      </c>
    </row>
    <row s="1635" customFormat="1" customHeight="1" ht="18.75" hidden="1">
      <c r="A144" s="1780" t="s">
        <v>283</v>
      </c>
      <c r="B144" s="1780" t="s">
        <v>284</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314</v>
      </c>
      <c r="M144" s="341"/>
      <c r="N144" s="334"/>
      <c r="O144" s="1624"/>
      <c r="P144" s="1624"/>
      <c r="AH144" s="1631">
        <v>0</v>
      </c>
    </row>
    <row s="1635" customFormat="1" customHeight="1" ht="18.75" hidden="1">
      <c r="A145" s="1780"/>
      <c r="B145" s="1780"/>
      <c r="C145" s="369" t="s">
        <v>1153</v>
      </c>
      <c r="D145" s="2462"/>
      <c r="E145" s="2204"/>
      <c r="F145" s="2383"/>
      <c r="G145" s="2427"/>
      <c r="H145" s="1500"/>
      <c r="I145" s="651" t="s">
        <v>1152</v>
      </c>
      <c r="J145" s="571"/>
      <c r="K145" s="1500"/>
      <c r="L145" s="214"/>
      <c r="M145" s="341"/>
      <c r="N145" s="334"/>
      <c r="O145" s="1624"/>
      <c r="P145" s="1624"/>
      <c r="AH145" s="1631">
        <v>0</v>
      </c>
    </row>
    <row s="1635" customFormat="1" customHeight="1" ht="1.05">
      <c r="A146" s="1780"/>
      <c r="B146" s="1780"/>
      <c r="C146" s="369" t="s">
        <v>1160</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95</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0"/>
      <c r="H147" s="2460"/>
      <c r="I147" s="2460"/>
      <c r="J147" s="2460"/>
      <c r="K147" s="2460"/>
      <c r="L147" s="2460"/>
      <c r="M147" s="297"/>
      <c r="N147" s="334"/>
      <c r="AH147" s="374">
        <v>19</v>
      </c>
    </row>
    <row s="1635" customFormat="1" customHeight="1" ht="60.75" hidden="1">
      <c r="A148" s="1780" t="s">
        <v>159</v>
      </c>
      <c r="B148" s="1780" t="s">
        <v>160</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314</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1153</v>
      </c>
      <c r="D149" s="2462"/>
      <c r="E149" s="2204"/>
      <c r="F149" s="2383"/>
      <c r="G149" s="2427"/>
      <c r="H149" s="1500"/>
      <c r="I149" s="651" t="s">
        <v>1152</v>
      </c>
      <c r="J149" s="571"/>
      <c r="K149" s="1500"/>
      <c r="L149" s="214"/>
      <c r="M149" s="2170"/>
      <c r="N149" s="334"/>
      <c r="O149" s="1624"/>
      <c r="P149" s="1624"/>
      <c r="AH149" s="1631">
        <v>0</v>
      </c>
    </row>
    <row s="1635" customFormat="1" customHeight="1" ht="0.75" hidden="1">
      <c r="A150" s="1780"/>
      <c r="B150" s="1780"/>
      <c r="C150" s="369" t="s">
        <v>1160</v>
      </c>
      <c r="D150" s="2462"/>
      <c r="E150" s="2204"/>
      <c r="F150" s="2383"/>
      <c r="G150" s="400"/>
      <c r="H150" s="1500"/>
      <c r="I150" s="651"/>
      <c r="J150" s="571"/>
      <c r="K150" s="1500"/>
      <c r="L150" s="214"/>
      <c r="M150" s="2170"/>
      <c r="N150" s="334"/>
      <c r="O150" s="1624"/>
      <c r="P150" s="1624"/>
      <c r="AH150" s="1631">
        <v>0</v>
      </c>
    </row>
    <row s="1635" customFormat="1" customHeight="1" ht="45" hidden="1">
      <c r="A151" s="1780" t="s">
        <v>167</v>
      </c>
      <c r="B151" s="1780" t="s">
        <v>168</v>
      </c>
      <c r="C151" s="369"/>
      <c r="D151" s="2462"/>
      <c r="E151" s="2204"/>
      <c r="F151" s="2383"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7" t="str">
        <f>INDEX(PT_DIFFERENTIATION_NTAR,MATCH(B151,PT_DIFFERENTIATION_NTAR_ID,0))</f>
        <v>одноставочный, руб/Гкал</v>
      </c>
      <c r="H151" s="1862"/>
      <c r="I151" s="1739"/>
      <c r="J151" s="1773"/>
      <c r="K151" s="1778"/>
      <c r="L151" s="1862" t="s">
        <v>314</v>
      </c>
      <c r="M151" s="2171"/>
      <c r="N151" s="334"/>
      <c r="O151" s="1624"/>
      <c r="P151" s="1624"/>
      <c r="AH151" s="1631">
        <v>0</v>
      </c>
    </row>
    <row s="1635" customFormat="1" customHeight="1" ht="18.75" hidden="1">
      <c r="A152" s="1780"/>
      <c r="B152" s="1780"/>
      <c r="C152" s="369" t="s">
        <v>1153</v>
      </c>
      <c r="D152" s="2462"/>
      <c r="E152" s="2204"/>
      <c r="F152" s="2383"/>
      <c r="G152" s="2427"/>
      <c r="H152" s="1500"/>
      <c r="I152" s="651" t="s">
        <v>1152</v>
      </c>
      <c r="J152" s="571"/>
      <c r="K152" s="1500"/>
      <c r="L152" s="214"/>
      <c r="M152" s="1861"/>
      <c r="N152" s="334"/>
      <c r="O152" s="1624"/>
      <c r="P152" s="1624"/>
      <c r="AH152" s="1631">
        <v>0</v>
      </c>
    </row>
    <row s="1635" customFormat="1" customHeight="1" ht="0.75" hidden="1">
      <c r="A153" s="1780"/>
      <c r="B153" s="1780"/>
      <c r="C153" s="369" t="s">
        <v>1160</v>
      </c>
      <c r="D153" s="2462"/>
      <c r="E153" s="2204"/>
      <c r="F153" s="2383"/>
      <c r="G153" s="400"/>
      <c r="H153" s="1500"/>
      <c r="I153" s="651"/>
      <c r="J153" s="571"/>
      <c r="K153" s="1500"/>
      <c r="L153" s="214"/>
      <c r="M153" s="341"/>
      <c r="N153" s="334"/>
      <c r="O153" s="1624"/>
      <c r="P153" s="1624"/>
      <c r="AH153" s="1631">
        <v>0</v>
      </c>
    </row>
    <row s="1635" customFormat="1" customHeight="1" ht="45" hidden="1">
      <c r="A154" s="1780" t="s">
        <v>177</v>
      </c>
      <c r="B154" s="1780" t="s">
        <v>178</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314</v>
      </c>
      <c r="M154" s="341"/>
      <c r="N154" s="334"/>
      <c r="O154" s="1624"/>
      <c r="P154" s="1624"/>
      <c r="AH154" s="1631">
        <v>0</v>
      </c>
    </row>
    <row s="1635" customFormat="1" customHeight="1" ht="18.75" hidden="1">
      <c r="A155" s="1780"/>
      <c r="B155" s="1780"/>
      <c r="C155" s="369" t="s">
        <v>1153</v>
      </c>
      <c r="D155" s="2462"/>
      <c r="E155" s="2204"/>
      <c r="F155" s="2383"/>
      <c r="G155" s="2427"/>
      <c r="H155" s="1500"/>
      <c r="I155" s="651" t="s">
        <v>1152</v>
      </c>
      <c r="J155" s="571"/>
      <c r="K155" s="1500"/>
      <c r="L155" s="214"/>
      <c r="M155" s="341"/>
      <c r="N155" s="334"/>
      <c r="O155" s="1624"/>
      <c r="P155" s="1624"/>
      <c r="AH155" s="1631">
        <v>0</v>
      </c>
    </row>
    <row s="1635" customFormat="1" customHeight="1" ht="0.75" hidden="1">
      <c r="A156" s="1780"/>
      <c r="B156" s="1780"/>
      <c r="C156" s="369" t="s">
        <v>1160</v>
      </c>
      <c r="D156" s="2462"/>
      <c r="E156" s="2204"/>
      <c r="F156" s="2383"/>
      <c r="G156" s="400"/>
      <c r="H156" s="1500"/>
      <c r="I156" s="651"/>
      <c r="J156" s="571"/>
      <c r="K156" s="1500"/>
      <c r="L156" s="214"/>
      <c r="M156" s="341"/>
      <c r="N156" s="334"/>
      <c r="O156" s="1624"/>
      <c r="P156" s="1624"/>
      <c r="AH156" s="1631">
        <v>0</v>
      </c>
    </row>
    <row s="1635" customFormat="1" customHeight="1" ht="45" hidden="1">
      <c r="A157" s="1780" t="s">
        <v>183</v>
      </c>
      <c r="B157" s="1780" t="s">
        <v>184</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314</v>
      </c>
      <c r="M157" s="341"/>
      <c r="N157" s="334"/>
      <c r="O157" s="1624"/>
      <c r="P157" s="1624"/>
      <c r="AH157" s="1631">
        <v>0</v>
      </c>
    </row>
    <row s="1635" customFormat="1" customHeight="1" ht="18.75" hidden="1">
      <c r="A158" s="1780"/>
      <c r="B158" s="1780"/>
      <c r="C158" s="369" t="s">
        <v>1153</v>
      </c>
      <c r="D158" s="2462"/>
      <c r="E158" s="2204"/>
      <c r="F158" s="2383"/>
      <c r="G158" s="2427"/>
      <c r="H158" s="1500"/>
      <c r="I158" s="651" t="s">
        <v>1152</v>
      </c>
      <c r="J158" s="571"/>
      <c r="K158" s="1500"/>
      <c r="L158" s="214"/>
      <c r="M158" s="341"/>
      <c r="N158" s="334"/>
      <c r="O158" s="1624"/>
      <c r="P158" s="1624"/>
      <c r="AH158" s="1631">
        <v>0</v>
      </c>
    </row>
    <row s="1635" customFormat="1" customHeight="1" ht="0.75" hidden="1">
      <c r="A159" s="1780"/>
      <c r="B159" s="1780"/>
      <c r="C159" s="369" t="s">
        <v>1160</v>
      </c>
      <c r="D159" s="2462"/>
      <c r="E159" s="2204"/>
      <c r="F159" s="2383"/>
      <c r="G159" s="400"/>
      <c r="H159" s="1500"/>
      <c r="I159" s="651"/>
      <c r="J159" s="571"/>
      <c r="K159" s="1500"/>
      <c r="L159" s="214"/>
      <c r="M159" s="341"/>
      <c r="N159" s="334"/>
      <c r="O159" s="1624"/>
      <c r="P159" s="1624"/>
      <c r="AH159" s="1631">
        <v>0</v>
      </c>
    </row>
    <row s="1635" customFormat="1" customHeight="1" ht="18.75" hidden="1">
      <c r="A160" s="1780" t="s">
        <v>189</v>
      </c>
      <c r="B160" s="1780" t="s">
        <v>190</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314</v>
      </c>
      <c r="M160" s="341"/>
      <c r="N160" s="334"/>
      <c r="O160" s="1624"/>
      <c r="P160" s="1624"/>
      <c r="AH160" s="1631">
        <v>0</v>
      </c>
    </row>
    <row s="1635" customFormat="1" customHeight="1" ht="18.75" hidden="1">
      <c r="A161" s="1780"/>
      <c r="B161" s="1780"/>
      <c r="C161" s="369" t="s">
        <v>1153</v>
      </c>
      <c r="D161" s="2462"/>
      <c r="E161" s="2204"/>
      <c r="F161" s="2383"/>
      <c r="G161" s="2427"/>
      <c r="H161" s="1500"/>
      <c r="I161" s="651" t="s">
        <v>1152</v>
      </c>
      <c r="J161" s="571"/>
      <c r="K161" s="1500"/>
      <c r="L161" s="214"/>
      <c r="M161" s="341"/>
      <c r="N161" s="334"/>
      <c r="O161" s="1624"/>
      <c r="P161" s="1624"/>
      <c r="AH161" s="1631">
        <v>0</v>
      </c>
    </row>
    <row s="1635" customFormat="1" customHeight="1" ht="0.75" hidden="1">
      <c r="A162" s="1780"/>
      <c r="B162" s="1780"/>
      <c r="C162" s="369" t="s">
        <v>1160</v>
      </c>
      <c r="D162" s="2462"/>
      <c r="E162" s="2204"/>
      <c r="F162" s="2383"/>
      <c r="G162" s="400"/>
      <c r="H162" s="1500"/>
      <c r="I162" s="651"/>
      <c r="J162" s="571"/>
      <c r="K162" s="1500"/>
      <c r="L162" s="214"/>
      <c r="M162" s="341"/>
      <c r="N162" s="334"/>
      <c r="O162" s="1624"/>
      <c r="P162" s="1624"/>
      <c r="AH162" s="1631">
        <v>0</v>
      </c>
    </row>
    <row s="1635" customFormat="1" customHeight="1" ht="18.75" hidden="1">
      <c r="A163" s="1780" t="s">
        <v>195</v>
      </c>
      <c r="B163" s="1780" t="s">
        <v>196</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314</v>
      </c>
      <c r="M163" s="341"/>
      <c r="N163" s="334"/>
      <c r="O163" s="1624"/>
      <c r="P163" s="1624"/>
      <c r="AH163" s="1631">
        <v>0</v>
      </c>
    </row>
    <row s="1635" customFormat="1" customHeight="1" ht="18.75" hidden="1">
      <c r="A164" s="1780"/>
      <c r="B164" s="1780"/>
      <c r="C164" s="369" t="s">
        <v>1153</v>
      </c>
      <c r="D164" s="2462"/>
      <c r="E164" s="2204"/>
      <c r="F164" s="2383"/>
      <c r="G164" s="2427"/>
      <c r="H164" s="1500"/>
      <c r="I164" s="651" t="s">
        <v>1152</v>
      </c>
      <c r="J164" s="571"/>
      <c r="K164" s="1500"/>
      <c r="L164" s="214"/>
      <c r="M164" s="341"/>
      <c r="N164" s="334"/>
      <c r="O164" s="1624"/>
      <c r="P164" s="1624"/>
      <c r="AH164" s="1631">
        <v>0</v>
      </c>
    </row>
    <row s="1635" customFormat="1" customHeight="1" ht="0.75" hidden="1">
      <c r="A165" s="1780"/>
      <c r="B165" s="1780"/>
      <c r="C165" s="369" t="s">
        <v>1160</v>
      </c>
      <c r="D165" s="2462"/>
      <c r="E165" s="2204"/>
      <c r="F165" s="2383"/>
      <c r="G165" s="400"/>
      <c r="H165" s="1500"/>
      <c r="I165" s="651"/>
      <c r="J165" s="571"/>
      <c r="K165" s="1500"/>
      <c r="L165" s="214"/>
      <c r="M165" s="341"/>
      <c r="N165" s="334"/>
      <c r="O165" s="1624"/>
      <c r="P165" s="1624"/>
      <c r="AH165" s="1631">
        <v>0</v>
      </c>
    </row>
    <row s="1635" customFormat="1" customHeight="1" ht="18.75" hidden="1">
      <c r="A166" s="1780" t="s">
        <v>201</v>
      </c>
      <c r="B166" s="1780" t="s">
        <v>202</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314</v>
      </c>
      <c r="M166" s="341"/>
      <c r="N166" s="334"/>
      <c r="O166" s="1624"/>
      <c r="P166" s="1624"/>
      <c r="AH166" s="1631">
        <v>0</v>
      </c>
    </row>
    <row s="1635" customFormat="1" customHeight="1" ht="18.75" hidden="1">
      <c r="A167" s="1780"/>
      <c r="B167" s="1780"/>
      <c r="C167" s="369" t="s">
        <v>1153</v>
      </c>
      <c r="D167" s="2462"/>
      <c r="E167" s="2204"/>
      <c r="F167" s="2383"/>
      <c r="G167" s="2427"/>
      <c r="H167" s="1500"/>
      <c r="I167" s="651" t="s">
        <v>1152</v>
      </c>
      <c r="J167" s="571"/>
      <c r="K167" s="1500"/>
      <c r="L167" s="214"/>
      <c r="M167" s="341"/>
      <c r="N167" s="334"/>
      <c r="O167" s="1624"/>
      <c r="P167" s="1624"/>
      <c r="AH167" s="1631">
        <v>0</v>
      </c>
    </row>
    <row s="1635" customFormat="1" customHeight="1" ht="0.75" hidden="1">
      <c r="A168" s="1780"/>
      <c r="B168" s="1780"/>
      <c r="C168" s="369" t="s">
        <v>1160</v>
      </c>
      <c r="D168" s="2462"/>
      <c r="E168" s="2204"/>
      <c r="F168" s="2383"/>
      <c r="G168" s="400"/>
      <c r="H168" s="1500"/>
      <c r="I168" s="651"/>
      <c r="J168" s="571"/>
      <c r="K168" s="1500"/>
      <c r="L168" s="214"/>
      <c r="M168" s="341"/>
      <c r="N168" s="334"/>
      <c r="O168" s="1624"/>
      <c r="P168" s="1624"/>
      <c r="AH168" s="1631">
        <v>0</v>
      </c>
    </row>
    <row s="1635" customFormat="1" customHeight="1" ht="18.75" hidden="1">
      <c r="A169" s="1780" t="s">
        <v>207</v>
      </c>
      <c r="B169" s="1780" t="s">
        <v>208</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314</v>
      </c>
      <c r="M169" s="341"/>
      <c r="N169" s="334"/>
      <c r="O169" s="1624"/>
      <c r="P169" s="1624"/>
      <c r="AH169" s="1631">
        <v>0</v>
      </c>
    </row>
    <row s="1635" customFormat="1" customHeight="1" ht="18.75" hidden="1">
      <c r="A170" s="1780"/>
      <c r="B170" s="1780"/>
      <c r="C170" s="369" t="s">
        <v>1153</v>
      </c>
      <c r="D170" s="2462"/>
      <c r="E170" s="2204"/>
      <c r="F170" s="2383"/>
      <c r="G170" s="2427"/>
      <c r="H170" s="1500"/>
      <c r="I170" s="651" t="s">
        <v>1152</v>
      </c>
      <c r="J170" s="571"/>
      <c r="K170" s="1500"/>
      <c r="L170" s="214"/>
      <c r="M170" s="341"/>
      <c r="N170" s="334"/>
      <c r="O170" s="1624"/>
      <c r="P170" s="1624"/>
      <c r="AH170" s="1631">
        <v>0</v>
      </c>
    </row>
    <row s="1635" customFormat="1" customHeight="1" ht="0.75" hidden="1">
      <c r="A171" s="1780"/>
      <c r="B171" s="1780"/>
      <c r="C171" s="369" t="s">
        <v>1160</v>
      </c>
      <c r="D171" s="2462"/>
      <c r="E171" s="2204"/>
      <c r="F171" s="2383"/>
      <c r="G171" s="400"/>
      <c r="H171" s="1500"/>
      <c r="I171" s="651"/>
      <c r="J171" s="571"/>
      <c r="K171" s="1500"/>
      <c r="L171" s="214"/>
      <c r="M171" s="341"/>
      <c r="N171" s="334"/>
      <c r="O171" s="1624"/>
      <c r="P171" s="1624"/>
      <c r="AH171" s="1631">
        <v>0</v>
      </c>
    </row>
    <row s="1635" customFormat="1" customHeight="1" ht="18.75" hidden="1">
      <c r="A172" s="1780" t="s">
        <v>213</v>
      </c>
      <c r="B172" s="1780" t="s">
        <v>214</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
      </c>
      <c r="H172" s="1989"/>
      <c r="I172" s="1739"/>
      <c r="J172" s="1773"/>
      <c r="K172" s="1778"/>
      <c r="L172" s="1989" t="s">
        <v>314</v>
      </c>
      <c r="M172" s="341"/>
      <c r="N172" s="334"/>
      <c r="O172" s="1624"/>
      <c r="P172" s="1624"/>
      <c r="AH172" s="1631">
        <v>0</v>
      </c>
    </row>
    <row s="1635" customFormat="1" customHeight="1" ht="18.75" hidden="1">
      <c r="A173" s="1780"/>
      <c r="B173" s="1780"/>
      <c r="C173" s="369" t="s">
        <v>1153</v>
      </c>
      <c r="D173" s="2462"/>
      <c r="E173" s="2204"/>
      <c r="F173" s="2383"/>
      <c r="G173" s="2427"/>
      <c r="H173" s="1500"/>
      <c r="I173" s="651" t="s">
        <v>1152</v>
      </c>
      <c r="J173" s="571"/>
      <c r="K173" s="1500"/>
      <c r="L173" s="214"/>
      <c r="M173" s="341"/>
      <c r="N173" s="334"/>
      <c r="O173" s="1624"/>
      <c r="P173" s="1624"/>
      <c r="AH173" s="1631">
        <v>0</v>
      </c>
    </row>
    <row s="1635" customFormat="1" customHeight="1" ht="0.75" hidden="1">
      <c r="A174" s="1780"/>
      <c r="B174" s="1780"/>
      <c r="C174" s="369" t="s">
        <v>1160</v>
      </c>
      <c r="D174" s="2462"/>
      <c r="E174" s="2204"/>
      <c r="F174" s="2383"/>
      <c r="G174" s="400"/>
      <c r="H174" s="1500"/>
      <c r="I174" s="651"/>
      <c r="J174" s="571"/>
      <c r="K174" s="1500"/>
      <c r="L174" s="214"/>
      <c r="M174" s="341"/>
      <c r="N174" s="334"/>
      <c r="O174" s="1624"/>
      <c r="P174" s="1624"/>
      <c r="AH174" s="1631">
        <v>0</v>
      </c>
    </row>
    <row s="1635" customFormat="1" customHeight="1" ht="18.75" hidden="1">
      <c r="A175" s="1780" t="s">
        <v>233</v>
      </c>
      <c r="B175" s="1780" t="s">
        <v>234</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
      </c>
      <c r="H175" s="1862"/>
      <c r="I175" s="1739"/>
      <c r="J175" s="1773"/>
      <c r="K175" s="1778"/>
      <c r="L175" s="1862" t="s">
        <v>314</v>
      </c>
      <c r="M175" s="341"/>
      <c r="N175" s="334"/>
      <c r="O175" s="1624"/>
      <c r="P175" s="1624"/>
      <c r="AH175" s="1631">
        <v>0</v>
      </c>
    </row>
    <row s="1635" customFormat="1" customHeight="1" ht="18.75" hidden="1">
      <c r="A176" s="1780"/>
      <c r="B176" s="1780"/>
      <c r="C176" s="369" t="s">
        <v>1153</v>
      </c>
      <c r="D176" s="2462"/>
      <c r="E176" s="2204"/>
      <c r="F176" s="2383"/>
      <c r="G176" s="2427"/>
      <c r="H176" s="1500"/>
      <c r="I176" s="651" t="s">
        <v>1152</v>
      </c>
      <c r="J176" s="571"/>
      <c r="K176" s="1500"/>
      <c r="L176" s="214"/>
      <c r="M176" s="341"/>
      <c r="N176" s="334"/>
      <c r="O176" s="1624"/>
      <c r="P176" s="1624"/>
      <c r="AH176" s="1631">
        <v>0</v>
      </c>
    </row>
    <row s="1635" customFormat="1" customHeight="1" ht="0.75" hidden="1">
      <c r="A177" s="1780"/>
      <c r="B177" s="1780"/>
      <c r="C177" s="369" t="s">
        <v>1160</v>
      </c>
      <c r="D177" s="2462"/>
      <c r="E177" s="2204"/>
      <c r="F177" s="2383"/>
      <c r="G177" s="400"/>
      <c r="H177" s="1500"/>
      <c r="I177" s="651"/>
      <c r="J177" s="571"/>
      <c r="K177" s="1500"/>
      <c r="L177" s="214"/>
      <c r="M177" s="341"/>
      <c r="N177" s="334"/>
      <c r="O177" s="1624"/>
      <c r="P177" s="1624"/>
      <c r="AH177" s="1631">
        <v>0</v>
      </c>
    </row>
    <row s="1635" customFormat="1" customHeight="1" ht="18.75" hidden="1">
      <c r="A178" s="1780" t="s">
        <v>238</v>
      </c>
      <c r="B178" s="1780" t="s">
        <v>239</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314</v>
      </c>
      <c r="M178" s="341"/>
      <c r="N178" s="334"/>
      <c r="O178" s="1624"/>
      <c r="P178" s="1624"/>
      <c r="AH178" s="1631">
        <v>0</v>
      </c>
    </row>
    <row s="1635" customFormat="1" customHeight="1" ht="18.75" hidden="1">
      <c r="A179" s="1780"/>
      <c r="B179" s="1780"/>
      <c r="C179" s="369" t="s">
        <v>1153</v>
      </c>
      <c r="D179" s="2462"/>
      <c r="E179" s="2204"/>
      <c r="F179" s="2383"/>
      <c r="G179" s="2427"/>
      <c r="H179" s="1500"/>
      <c r="I179" s="651" t="s">
        <v>1152</v>
      </c>
      <c r="J179" s="571"/>
      <c r="K179" s="1500"/>
      <c r="L179" s="214"/>
      <c r="M179" s="341"/>
      <c r="N179" s="334"/>
      <c r="O179" s="1624"/>
      <c r="P179" s="1624"/>
      <c r="AH179" s="1631">
        <v>0</v>
      </c>
    </row>
    <row s="1635" customFormat="1" customHeight="1" ht="0.75" hidden="1">
      <c r="A180" s="1780"/>
      <c r="B180" s="1780"/>
      <c r="C180" s="369" t="s">
        <v>1160</v>
      </c>
      <c r="D180" s="2462"/>
      <c r="E180" s="2204"/>
      <c r="F180" s="2383"/>
      <c r="G180" s="400"/>
      <c r="H180" s="1500"/>
      <c r="I180" s="651"/>
      <c r="J180" s="571"/>
      <c r="K180" s="1500"/>
      <c r="L180" s="214"/>
      <c r="M180" s="341"/>
      <c r="N180" s="334"/>
      <c r="O180" s="1624"/>
      <c r="P180" s="1624"/>
      <c r="AH180" s="1631">
        <v>0</v>
      </c>
    </row>
    <row s="1635" customFormat="1" customHeight="1" ht="18.75" hidden="1">
      <c r="A181" s="1780" t="s">
        <v>243</v>
      </c>
      <c r="B181" s="1780" t="s">
        <v>244</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314</v>
      </c>
      <c r="M181" s="341"/>
      <c r="N181" s="334"/>
      <c r="O181" s="1624"/>
      <c r="P181" s="1624"/>
      <c r="AH181" s="1631">
        <v>0</v>
      </c>
    </row>
    <row s="1635" customFormat="1" customHeight="1" ht="18.75" hidden="1">
      <c r="A182" s="1780"/>
      <c r="B182" s="1780"/>
      <c r="C182" s="369" t="s">
        <v>1153</v>
      </c>
      <c r="D182" s="2462"/>
      <c r="E182" s="2204"/>
      <c r="F182" s="2383"/>
      <c r="G182" s="2427"/>
      <c r="H182" s="1500"/>
      <c r="I182" s="651" t="s">
        <v>1152</v>
      </c>
      <c r="J182" s="571"/>
      <c r="K182" s="1500"/>
      <c r="L182" s="214"/>
      <c r="M182" s="341"/>
      <c r="N182" s="334"/>
      <c r="O182" s="1624"/>
      <c r="P182" s="1624"/>
      <c r="AH182" s="1631">
        <v>0</v>
      </c>
    </row>
    <row s="1635" customFormat="1" customHeight="1" ht="0.75" hidden="1">
      <c r="A183" s="1780"/>
      <c r="B183" s="1780"/>
      <c r="C183" s="369" t="s">
        <v>1160</v>
      </c>
      <c r="D183" s="2462"/>
      <c r="E183" s="2204"/>
      <c r="F183" s="2383"/>
      <c r="G183" s="400"/>
      <c r="H183" s="1500"/>
      <c r="I183" s="651"/>
      <c r="J183" s="571"/>
      <c r="K183" s="1500"/>
      <c r="L183" s="214"/>
      <c r="M183" s="341"/>
      <c r="N183" s="334"/>
      <c r="O183" s="1624"/>
      <c r="P183" s="1624"/>
      <c r="AH183" s="1631">
        <v>0</v>
      </c>
    </row>
    <row s="1635" customFormat="1" customHeight="1" ht="18.75" hidden="1">
      <c r="A184" s="1780" t="s">
        <v>248</v>
      </c>
      <c r="B184" s="1780" t="s">
        <v>249</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314</v>
      </c>
      <c r="M184" s="341"/>
      <c r="N184" s="334"/>
      <c r="O184" s="1624"/>
      <c r="P184" s="1624"/>
      <c r="AH184" s="1631">
        <v>0</v>
      </c>
    </row>
    <row s="1635" customFormat="1" customHeight="1" ht="18.75" hidden="1">
      <c r="A185" s="1780"/>
      <c r="B185" s="1780"/>
      <c r="C185" s="369" t="s">
        <v>1153</v>
      </c>
      <c r="D185" s="2462"/>
      <c r="E185" s="2204"/>
      <c r="F185" s="2383"/>
      <c r="G185" s="2427"/>
      <c r="H185" s="1500"/>
      <c r="I185" s="651" t="s">
        <v>1152</v>
      </c>
      <c r="J185" s="571"/>
      <c r="K185" s="1500"/>
      <c r="L185" s="214"/>
      <c r="M185" s="341"/>
      <c r="N185" s="334"/>
      <c r="O185" s="1624"/>
      <c r="P185" s="1624"/>
      <c r="AH185" s="1631">
        <v>0</v>
      </c>
    </row>
    <row s="1635" customFormat="1" customHeight="1" ht="0.75" hidden="1">
      <c r="A186" s="1780"/>
      <c r="B186" s="1780"/>
      <c r="C186" s="369" t="s">
        <v>1160</v>
      </c>
      <c r="D186" s="2462"/>
      <c r="E186" s="2204"/>
      <c r="F186" s="2383"/>
      <c r="G186" s="400"/>
      <c r="H186" s="1500"/>
      <c r="I186" s="651"/>
      <c r="J186" s="571"/>
      <c r="K186" s="1500"/>
      <c r="L186" s="214"/>
      <c r="M186" s="341"/>
      <c r="N186" s="334"/>
      <c r="O186" s="1624"/>
      <c r="P186" s="1624"/>
      <c r="AH186" s="1631">
        <v>0</v>
      </c>
    </row>
    <row s="1635" customFormat="1" customHeight="1" ht="18.75" hidden="1">
      <c r="A187" s="1780" t="s">
        <v>253</v>
      </c>
      <c r="B187" s="1780" t="s">
        <v>254</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314</v>
      </c>
      <c r="M187" s="341"/>
      <c r="N187" s="334"/>
      <c r="O187" s="1624"/>
      <c r="P187" s="1624"/>
      <c r="AH187" s="1631">
        <v>0</v>
      </c>
    </row>
    <row s="1635" customFormat="1" customHeight="1" ht="18.75" hidden="1">
      <c r="A188" s="1780"/>
      <c r="B188" s="1780"/>
      <c r="C188" s="369" t="s">
        <v>1153</v>
      </c>
      <c r="D188" s="2462"/>
      <c r="E188" s="2204"/>
      <c r="F188" s="2383"/>
      <c r="G188" s="2427"/>
      <c r="H188" s="1500"/>
      <c r="I188" s="651" t="s">
        <v>1152</v>
      </c>
      <c r="J188" s="571"/>
      <c r="K188" s="1500"/>
      <c r="L188" s="214"/>
      <c r="M188" s="341"/>
      <c r="N188" s="334"/>
      <c r="O188" s="1624"/>
      <c r="P188" s="1624"/>
      <c r="AH188" s="1631">
        <v>0</v>
      </c>
    </row>
    <row s="1635" customFormat="1" customHeight="1" ht="0.75" hidden="1">
      <c r="A189" s="1780"/>
      <c r="B189" s="1780"/>
      <c r="C189" s="369" t="s">
        <v>1160</v>
      </c>
      <c r="D189" s="2462"/>
      <c r="E189" s="2204"/>
      <c r="F189" s="2383"/>
      <c r="G189" s="400"/>
      <c r="H189" s="1500"/>
      <c r="I189" s="651"/>
      <c r="J189" s="571"/>
      <c r="K189" s="1500"/>
      <c r="L189" s="214"/>
      <c r="M189" s="341"/>
      <c r="N189" s="334"/>
      <c r="O189" s="1624"/>
      <c r="P189" s="1624"/>
      <c r="AH189" s="1631">
        <v>0</v>
      </c>
    </row>
    <row s="1635" customFormat="1" customHeight="1" ht="18.75" hidden="1">
      <c r="A190" s="1780" t="s">
        <v>258</v>
      </c>
      <c r="B190" s="1780" t="s">
        <v>259</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314</v>
      </c>
      <c r="M190" s="341"/>
      <c r="N190" s="334"/>
      <c r="O190" s="1624"/>
      <c r="P190" s="1624"/>
      <c r="AH190" s="1631">
        <v>0</v>
      </c>
    </row>
    <row s="1635" customFormat="1" customHeight="1" ht="18.75" hidden="1">
      <c r="A191" s="1780"/>
      <c r="B191" s="1780"/>
      <c r="C191" s="369" t="s">
        <v>1153</v>
      </c>
      <c r="D191" s="2462"/>
      <c r="E191" s="2204"/>
      <c r="F191" s="2383"/>
      <c r="G191" s="2427"/>
      <c r="H191" s="1500"/>
      <c r="I191" s="651" t="s">
        <v>1152</v>
      </c>
      <c r="J191" s="571"/>
      <c r="K191" s="1500"/>
      <c r="L191" s="214"/>
      <c r="M191" s="341"/>
      <c r="N191" s="334"/>
      <c r="O191" s="1624"/>
      <c r="P191" s="1624"/>
      <c r="AH191" s="1631">
        <v>0</v>
      </c>
    </row>
    <row s="1635" customFormat="1" customHeight="1" ht="0.75" hidden="1">
      <c r="A192" s="1780"/>
      <c r="B192" s="1780"/>
      <c r="C192" s="369" t="s">
        <v>1160</v>
      </c>
      <c r="D192" s="2462"/>
      <c r="E192" s="2204"/>
      <c r="F192" s="2383"/>
      <c r="G192" s="400"/>
      <c r="H192" s="1500"/>
      <c r="I192" s="651"/>
      <c r="J192" s="571"/>
      <c r="K192" s="1500"/>
      <c r="L192" s="214"/>
      <c r="M192" s="341"/>
      <c r="N192" s="334"/>
      <c r="O192" s="1624"/>
      <c r="P192" s="1624"/>
      <c r="AH192" s="1631">
        <v>0</v>
      </c>
    </row>
    <row s="1635" customFormat="1" customHeight="1" ht="18.75" hidden="1">
      <c r="A193" s="1780" t="s">
        <v>263</v>
      </c>
      <c r="B193" s="1780" t="s">
        <v>264</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314</v>
      </c>
      <c r="M193" s="341"/>
      <c r="N193" s="334"/>
      <c r="O193" s="1624"/>
      <c r="P193" s="1624"/>
      <c r="AH193" s="1631">
        <v>0</v>
      </c>
    </row>
    <row s="1635" customFormat="1" customHeight="1" ht="18.75" hidden="1">
      <c r="A194" s="1780"/>
      <c r="B194" s="1780"/>
      <c r="C194" s="369" t="s">
        <v>1153</v>
      </c>
      <c r="D194" s="2462"/>
      <c r="E194" s="2204"/>
      <c r="F194" s="2383"/>
      <c r="G194" s="2427"/>
      <c r="H194" s="1500"/>
      <c r="I194" s="651" t="s">
        <v>1152</v>
      </c>
      <c r="J194" s="571"/>
      <c r="K194" s="1500"/>
      <c r="L194" s="214"/>
      <c r="M194" s="341"/>
      <c r="N194" s="334"/>
      <c r="O194" s="1624"/>
      <c r="P194" s="1624"/>
      <c r="AH194" s="1631">
        <v>0</v>
      </c>
    </row>
    <row s="1635" customFormat="1" customHeight="1" ht="0.75" hidden="1">
      <c r="A195" s="1780"/>
      <c r="B195" s="1780"/>
      <c r="C195" s="369" t="s">
        <v>1160</v>
      </c>
      <c r="D195" s="2462"/>
      <c r="E195" s="2204"/>
      <c r="F195" s="2383"/>
      <c r="G195" s="400"/>
      <c r="H195" s="1500"/>
      <c r="I195" s="651"/>
      <c r="J195" s="571"/>
      <c r="K195" s="1500"/>
      <c r="L195" s="214"/>
      <c r="M195" s="341"/>
      <c r="N195" s="334"/>
      <c r="O195" s="1624"/>
      <c r="P195" s="1624"/>
      <c r="AH195" s="1631">
        <v>0</v>
      </c>
    </row>
    <row s="1635" customFormat="1" customHeight="1" ht="18.75" hidden="1">
      <c r="A196" s="1780" t="s">
        <v>268</v>
      </c>
      <c r="B196" s="1780" t="s">
        <v>269</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314</v>
      </c>
      <c r="M196" s="341"/>
      <c r="N196" s="334"/>
      <c r="O196" s="1624"/>
      <c r="P196" s="1624"/>
      <c r="AH196" s="1631">
        <v>0</v>
      </c>
    </row>
    <row s="1635" customFormat="1" customHeight="1" ht="18.75" hidden="1">
      <c r="A197" s="1780"/>
      <c r="B197" s="1780"/>
      <c r="C197" s="369" t="s">
        <v>1153</v>
      </c>
      <c r="D197" s="2462"/>
      <c r="E197" s="2204"/>
      <c r="F197" s="2383"/>
      <c r="G197" s="2427"/>
      <c r="H197" s="1500"/>
      <c r="I197" s="651" t="s">
        <v>1152</v>
      </c>
      <c r="J197" s="571"/>
      <c r="K197" s="1500"/>
      <c r="L197" s="214"/>
      <c r="M197" s="341"/>
      <c r="N197" s="334"/>
      <c r="O197" s="1624"/>
      <c r="P197" s="1624"/>
      <c r="AH197" s="1631">
        <v>0</v>
      </c>
    </row>
    <row s="1635" customFormat="1" customHeight="1" ht="0.75" hidden="1">
      <c r="A198" s="1780"/>
      <c r="B198" s="1780"/>
      <c r="C198" s="369" t="s">
        <v>1160</v>
      </c>
      <c r="D198" s="2462"/>
      <c r="E198" s="2204"/>
      <c r="F198" s="2383"/>
      <c r="G198" s="400"/>
      <c r="H198" s="1500"/>
      <c r="I198" s="651"/>
      <c r="J198" s="571"/>
      <c r="K198" s="1500"/>
      <c r="L198" s="214"/>
      <c r="M198" s="341"/>
      <c r="N198" s="334"/>
      <c r="O198" s="1624"/>
      <c r="P198" s="1624"/>
      <c r="AH198" s="1631">
        <v>0</v>
      </c>
    </row>
    <row s="1635" customFormat="1" customHeight="1" ht="18.75" hidden="1">
      <c r="A199" s="1780" t="s">
        <v>273</v>
      </c>
      <c r="B199" s="1780" t="s">
        <v>274</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314</v>
      </c>
      <c r="M199" s="341"/>
      <c r="N199" s="334"/>
      <c r="O199" s="1624"/>
      <c r="P199" s="1624"/>
      <c r="AH199" s="1631">
        <v>0</v>
      </c>
    </row>
    <row s="1635" customFormat="1" customHeight="1" ht="18.75" hidden="1">
      <c r="A200" s="1780"/>
      <c r="B200" s="1780"/>
      <c r="C200" s="369" t="s">
        <v>1153</v>
      </c>
      <c r="D200" s="2462"/>
      <c r="E200" s="2204"/>
      <c r="F200" s="2383"/>
      <c r="G200" s="2427"/>
      <c r="H200" s="1500"/>
      <c r="I200" s="651" t="s">
        <v>1152</v>
      </c>
      <c r="J200" s="571"/>
      <c r="K200" s="1500"/>
      <c r="L200" s="214"/>
      <c r="M200" s="341"/>
      <c r="N200" s="334"/>
      <c r="O200" s="1624"/>
      <c r="P200" s="1624"/>
      <c r="AH200" s="1631">
        <v>0</v>
      </c>
    </row>
    <row s="1635" customFormat="1" customHeight="1" ht="0.75" hidden="1">
      <c r="A201" s="1780"/>
      <c r="B201" s="1780"/>
      <c r="C201" s="369" t="s">
        <v>1160</v>
      </c>
      <c r="D201" s="2462"/>
      <c r="E201" s="2204"/>
      <c r="F201" s="2383"/>
      <c r="G201" s="400"/>
      <c r="H201" s="1500"/>
      <c r="I201" s="651"/>
      <c r="J201" s="571"/>
      <c r="K201" s="1500"/>
      <c r="L201" s="214"/>
      <c r="M201" s="341"/>
      <c r="N201" s="334"/>
      <c r="O201" s="1624"/>
      <c r="P201" s="1624"/>
      <c r="AH201" s="1631">
        <v>0</v>
      </c>
    </row>
    <row s="1635" customFormat="1" customHeight="1" ht="18.75" hidden="1">
      <c r="A202" s="1780" t="s">
        <v>278</v>
      </c>
      <c r="B202" s="1780" t="s">
        <v>279</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
      </c>
      <c r="H202" s="1862"/>
      <c r="I202" s="1739"/>
      <c r="J202" s="1773"/>
      <c r="K202" s="1778"/>
      <c r="L202" s="1862" t="s">
        <v>314</v>
      </c>
      <c r="M202" s="341"/>
      <c r="N202" s="334"/>
      <c r="O202" s="1624"/>
      <c r="P202" s="1624"/>
      <c r="AH202" s="1631">
        <v>0</v>
      </c>
    </row>
    <row s="1635" customFormat="1" customHeight="1" ht="18.75" hidden="1">
      <c r="A203" s="1780"/>
      <c r="B203" s="1780"/>
      <c r="C203" s="369" t="s">
        <v>1153</v>
      </c>
      <c r="D203" s="2462"/>
      <c r="E203" s="2204"/>
      <c r="F203" s="2383"/>
      <c r="G203" s="2427"/>
      <c r="H203" s="1500"/>
      <c r="I203" s="651" t="s">
        <v>1152</v>
      </c>
      <c r="J203" s="571"/>
      <c r="K203" s="1500"/>
      <c r="L203" s="214"/>
      <c r="M203" s="341"/>
      <c r="N203" s="334"/>
      <c r="O203" s="1624"/>
      <c r="P203" s="1624"/>
      <c r="AH203" s="1631">
        <v>0</v>
      </c>
    </row>
    <row s="1635" customFormat="1" customHeight="1" ht="0.75" hidden="1">
      <c r="A204" s="1780"/>
      <c r="B204" s="1780"/>
      <c r="C204" s="369" t="s">
        <v>1160</v>
      </c>
      <c r="D204" s="2462"/>
      <c r="E204" s="2204"/>
      <c r="F204" s="2383"/>
      <c r="G204" s="400"/>
      <c r="H204" s="1500"/>
      <c r="I204" s="651"/>
      <c r="J204" s="571"/>
      <c r="K204" s="1500"/>
      <c r="L204" s="214"/>
      <c r="M204" s="341"/>
      <c r="N204" s="334"/>
      <c r="O204" s="1624"/>
      <c r="P204" s="1624"/>
      <c r="AH204" s="1631">
        <v>0</v>
      </c>
    </row>
    <row s="1635" customFormat="1" customHeight="1" ht="18.75" hidden="1">
      <c r="A205" s="1780" t="s">
        <v>283</v>
      </c>
      <c r="B205" s="1780" t="s">
        <v>284</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314</v>
      </c>
      <c r="M205" s="341"/>
      <c r="N205" s="334"/>
      <c r="O205" s="1624"/>
      <c r="P205" s="1624"/>
      <c r="AH205" s="1631">
        <v>0</v>
      </c>
    </row>
    <row s="1635" customFormat="1" customHeight="1" ht="18.75" hidden="1">
      <c r="A206" s="1780"/>
      <c r="B206" s="1780"/>
      <c r="C206" s="369" t="s">
        <v>1153</v>
      </c>
      <c r="D206" s="2462"/>
      <c r="E206" s="2204"/>
      <c r="F206" s="2383"/>
      <c r="G206" s="2427"/>
      <c r="H206" s="1500"/>
      <c r="I206" s="651" t="s">
        <v>1152</v>
      </c>
      <c r="J206" s="571"/>
      <c r="K206" s="1500"/>
      <c r="L206" s="214"/>
      <c r="M206" s="341"/>
      <c r="N206" s="334"/>
      <c r="O206" s="1624"/>
      <c r="P206" s="1624"/>
      <c r="AH206" s="1631">
        <v>0</v>
      </c>
    </row>
    <row s="1635" customFormat="1" customHeight="1" ht="1.05">
      <c r="A207" s="1780"/>
      <c r="B207" s="1780"/>
      <c r="C207" s="369" t="s">
        <v>1160</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115</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0"/>
      <c r="H208" s="2460"/>
      <c r="I208" s="2460"/>
      <c r="J208" s="2460"/>
      <c r="K208" s="2460"/>
      <c r="L208" s="2460"/>
      <c r="M208" s="297"/>
      <c r="N208" s="334"/>
      <c r="AH208" s="374">
        <v>26</v>
      </c>
    </row>
    <row s="1635" customFormat="1" customHeight="1" ht="60.75" hidden="1">
      <c r="A209" s="1780" t="s">
        <v>159</v>
      </c>
      <c r="B209" s="1780" t="s">
        <v>160</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314</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1153</v>
      </c>
      <c r="D210" s="2462"/>
      <c r="E210" s="2204"/>
      <c r="F210" s="2383"/>
      <c r="G210" s="2427"/>
      <c r="H210" s="1500"/>
      <c r="I210" s="651" t="s">
        <v>1152</v>
      </c>
      <c r="J210" s="571"/>
      <c r="K210" s="1500"/>
      <c r="L210" s="214"/>
      <c r="M210" s="2170"/>
      <c r="N210" s="334"/>
      <c r="O210" s="1624"/>
      <c r="P210" s="1624"/>
      <c r="AH210" s="1631">
        <v>0</v>
      </c>
    </row>
    <row s="1635" customFormat="1" customHeight="1" ht="0.75" hidden="1">
      <c r="A211" s="1780"/>
      <c r="B211" s="1780"/>
      <c r="C211" s="369" t="s">
        <v>1160</v>
      </c>
      <c r="D211" s="2462"/>
      <c r="E211" s="2204"/>
      <c r="F211" s="2383"/>
      <c r="G211" s="400"/>
      <c r="H211" s="1500"/>
      <c r="I211" s="651"/>
      <c r="J211" s="571"/>
      <c r="K211" s="1500"/>
      <c r="L211" s="214"/>
      <c r="M211" s="2170"/>
      <c r="N211" s="334"/>
      <c r="O211" s="1624"/>
      <c r="P211" s="1624"/>
      <c r="AH211" s="1631">
        <v>0</v>
      </c>
    </row>
    <row s="1635" customFormat="1" customHeight="1" ht="45" hidden="1">
      <c r="A212" s="1780" t="s">
        <v>167</v>
      </c>
      <c r="B212" s="1780" t="s">
        <v>168</v>
      </c>
      <c r="C212" s="369"/>
      <c r="D212" s="2462"/>
      <c r="E212" s="2204"/>
      <c r="F212" s="2383"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7" t="str">
        <f>INDEX(PT_DIFFERENTIATION_NTAR,MATCH(B212,PT_DIFFERENTIATION_NTAR_ID,0))</f>
        <v>одноставочный, руб/Гкал</v>
      </c>
      <c r="H212" s="1862"/>
      <c r="I212" s="1739"/>
      <c r="J212" s="1773"/>
      <c r="K212" s="1778"/>
      <c r="L212" s="1862" t="s">
        <v>314</v>
      </c>
      <c r="M212" s="2171"/>
      <c r="N212" s="334"/>
      <c r="O212" s="1624"/>
      <c r="P212" s="1624"/>
      <c r="AH212" s="1631">
        <v>0</v>
      </c>
    </row>
    <row s="1635" customFormat="1" customHeight="1" ht="18.75" hidden="1">
      <c r="A213" s="1780"/>
      <c r="B213" s="1780"/>
      <c r="C213" s="369" t="s">
        <v>1153</v>
      </c>
      <c r="D213" s="2462"/>
      <c r="E213" s="2204"/>
      <c r="F213" s="2383"/>
      <c r="G213" s="2427"/>
      <c r="H213" s="1500"/>
      <c r="I213" s="651" t="s">
        <v>1152</v>
      </c>
      <c r="J213" s="571"/>
      <c r="K213" s="1500"/>
      <c r="L213" s="214"/>
      <c r="M213" s="1861"/>
      <c r="N213" s="334"/>
      <c r="O213" s="1624"/>
      <c r="P213" s="1624"/>
      <c r="AH213" s="1631">
        <v>0</v>
      </c>
    </row>
    <row s="1635" customFormat="1" customHeight="1" ht="0.75" hidden="1">
      <c r="A214" s="1780"/>
      <c r="B214" s="1780"/>
      <c r="C214" s="369" t="s">
        <v>1160</v>
      </c>
      <c r="D214" s="2462"/>
      <c r="E214" s="2204"/>
      <c r="F214" s="2383"/>
      <c r="G214" s="400"/>
      <c r="H214" s="1500"/>
      <c r="I214" s="651"/>
      <c r="J214" s="571"/>
      <c r="K214" s="1500"/>
      <c r="L214" s="214"/>
      <c r="M214" s="341"/>
      <c r="N214" s="334"/>
      <c r="O214" s="1624"/>
      <c r="P214" s="1624"/>
      <c r="AH214" s="1631">
        <v>0</v>
      </c>
    </row>
    <row s="1635" customFormat="1" customHeight="1" ht="45" hidden="1">
      <c r="A215" s="1780" t="s">
        <v>177</v>
      </c>
      <c r="B215" s="1780" t="s">
        <v>178</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314</v>
      </c>
      <c r="M215" s="341"/>
      <c r="N215" s="334"/>
      <c r="O215" s="1624"/>
      <c r="P215" s="1624"/>
      <c r="AH215" s="1631">
        <v>0</v>
      </c>
    </row>
    <row s="1635" customFormat="1" customHeight="1" ht="18.75" hidden="1">
      <c r="A216" s="1780"/>
      <c r="B216" s="1780"/>
      <c r="C216" s="369" t="s">
        <v>1153</v>
      </c>
      <c r="D216" s="2462"/>
      <c r="E216" s="2204"/>
      <c r="F216" s="2383"/>
      <c r="G216" s="2427"/>
      <c r="H216" s="1500"/>
      <c r="I216" s="651" t="s">
        <v>1152</v>
      </c>
      <c r="J216" s="571"/>
      <c r="K216" s="1500"/>
      <c r="L216" s="214"/>
      <c r="M216" s="341"/>
      <c r="N216" s="334"/>
      <c r="O216" s="1624"/>
      <c r="P216" s="1624"/>
      <c r="AH216" s="1631">
        <v>0</v>
      </c>
    </row>
    <row s="1635" customFormat="1" customHeight="1" ht="0.75" hidden="1">
      <c r="A217" s="1780"/>
      <c r="B217" s="1780"/>
      <c r="C217" s="369" t="s">
        <v>1160</v>
      </c>
      <c r="D217" s="2462"/>
      <c r="E217" s="2204"/>
      <c r="F217" s="2383"/>
      <c r="G217" s="400"/>
      <c r="H217" s="1500"/>
      <c r="I217" s="651"/>
      <c r="J217" s="571"/>
      <c r="K217" s="1500"/>
      <c r="L217" s="214"/>
      <c r="M217" s="341"/>
      <c r="N217" s="334"/>
      <c r="O217" s="1624"/>
      <c r="P217" s="1624"/>
      <c r="AH217" s="1631">
        <v>0</v>
      </c>
    </row>
    <row s="1635" customFormat="1" customHeight="1" ht="45" hidden="1">
      <c r="A218" s="1780" t="s">
        <v>183</v>
      </c>
      <c r="B218" s="1780" t="s">
        <v>184</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314</v>
      </c>
      <c r="M218" s="341"/>
      <c r="N218" s="334"/>
      <c r="O218" s="1624"/>
      <c r="P218" s="1624"/>
      <c r="AH218" s="1631">
        <v>0</v>
      </c>
    </row>
    <row s="1635" customFormat="1" customHeight="1" ht="18.75" hidden="1">
      <c r="A219" s="1780"/>
      <c r="B219" s="1780"/>
      <c r="C219" s="369" t="s">
        <v>1153</v>
      </c>
      <c r="D219" s="2462"/>
      <c r="E219" s="2204"/>
      <c r="F219" s="2383"/>
      <c r="G219" s="2427"/>
      <c r="H219" s="1500"/>
      <c r="I219" s="651" t="s">
        <v>1152</v>
      </c>
      <c r="J219" s="571"/>
      <c r="K219" s="1500"/>
      <c r="L219" s="214"/>
      <c r="M219" s="341"/>
      <c r="N219" s="334"/>
      <c r="O219" s="1624"/>
      <c r="P219" s="1624"/>
      <c r="AH219" s="1631">
        <v>0</v>
      </c>
    </row>
    <row s="1635" customFormat="1" customHeight="1" ht="0.75" hidden="1">
      <c r="A220" s="1780"/>
      <c r="B220" s="1780"/>
      <c r="C220" s="369" t="s">
        <v>1160</v>
      </c>
      <c r="D220" s="2462"/>
      <c r="E220" s="2204"/>
      <c r="F220" s="2383"/>
      <c r="G220" s="400"/>
      <c r="H220" s="1500"/>
      <c r="I220" s="651"/>
      <c r="J220" s="571"/>
      <c r="K220" s="1500"/>
      <c r="L220" s="214"/>
      <c r="M220" s="341"/>
      <c r="N220" s="334"/>
      <c r="O220" s="1624"/>
      <c r="P220" s="1624"/>
      <c r="AH220" s="1631">
        <v>0</v>
      </c>
    </row>
    <row s="1635" customFormat="1" customHeight="1" ht="18.75" hidden="1">
      <c r="A221" s="1780" t="s">
        <v>189</v>
      </c>
      <c r="B221" s="1780" t="s">
        <v>190</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314</v>
      </c>
      <c r="M221" s="341"/>
      <c r="N221" s="334"/>
      <c r="O221" s="1624"/>
      <c r="P221" s="1624"/>
      <c r="AH221" s="1631">
        <v>0</v>
      </c>
    </row>
    <row s="1635" customFormat="1" customHeight="1" ht="18.75" hidden="1">
      <c r="A222" s="1780"/>
      <c r="B222" s="1780"/>
      <c r="C222" s="369" t="s">
        <v>1153</v>
      </c>
      <c r="D222" s="2462"/>
      <c r="E222" s="2204"/>
      <c r="F222" s="2383"/>
      <c r="G222" s="2427"/>
      <c r="H222" s="1500"/>
      <c r="I222" s="651" t="s">
        <v>1152</v>
      </c>
      <c r="J222" s="571"/>
      <c r="K222" s="1500"/>
      <c r="L222" s="214"/>
      <c r="M222" s="341"/>
      <c r="N222" s="334"/>
      <c r="O222" s="1624"/>
      <c r="P222" s="1624"/>
      <c r="AH222" s="1631">
        <v>0</v>
      </c>
    </row>
    <row s="1635" customFormat="1" customHeight="1" ht="0.75" hidden="1">
      <c r="A223" s="1780"/>
      <c r="B223" s="1780"/>
      <c r="C223" s="369" t="s">
        <v>1160</v>
      </c>
      <c r="D223" s="2462"/>
      <c r="E223" s="2204"/>
      <c r="F223" s="2383"/>
      <c r="G223" s="400"/>
      <c r="H223" s="1500"/>
      <c r="I223" s="651"/>
      <c r="J223" s="571"/>
      <c r="K223" s="1500"/>
      <c r="L223" s="214"/>
      <c r="M223" s="341"/>
      <c r="N223" s="334"/>
      <c r="O223" s="1624"/>
      <c r="P223" s="1624"/>
      <c r="AH223" s="1631">
        <v>0</v>
      </c>
    </row>
    <row s="1635" customFormat="1" customHeight="1" ht="18.75" hidden="1">
      <c r="A224" s="1780" t="s">
        <v>195</v>
      </c>
      <c r="B224" s="1780" t="s">
        <v>196</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314</v>
      </c>
      <c r="M224" s="341"/>
      <c r="N224" s="334"/>
      <c r="O224" s="1624"/>
      <c r="P224" s="1624"/>
      <c r="AH224" s="1631">
        <v>0</v>
      </c>
    </row>
    <row s="1635" customFormat="1" customHeight="1" ht="18.75" hidden="1">
      <c r="A225" s="1780"/>
      <c r="B225" s="1780"/>
      <c r="C225" s="369" t="s">
        <v>1153</v>
      </c>
      <c r="D225" s="2462"/>
      <c r="E225" s="2204"/>
      <c r="F225" s="2383"/>
      <c r="G225" s="2427"/>
      <c r="H225" s="1500"/>
      <c r="I225" s="651" t="s">
        <v>1152</v>
      </c>
      <c r="J225" s="571"/>
      <c r="K225" s="1500"/>
      <c r="L225" s="214"/>
      <c r="M225" s="341"/>
      <c r="N225" s="334"/>
      <c r="O225" s="1624"/>
      <c r="P225" s="1624"/>
      <c r="AH225" s="1631">
        <v>0</v>
      </c>
    </row>
    <row s="1635" customFormat="1" customHeight="1" ht="0.75" hidden="1">
      <c r="A226" s="1780"/>
      <c r="B226" s="1780"/>
      <c r="C226" s="369" t="s">
        <v>1160</v>
      </c>
      <c r="D226" s="2462"/>
      <c r="E226" s="2204"/>
      <c r="F226" s="2383"/>
      <c r="G226" s="400"/>
      <c r="H226" s="1500"/>
      <c r="I226" s="651"/>
      <c r="J226" s="571"/>
      <c r="K226" s="1500"/>
      <c r="L226" s="214"/>
      <c r="M226" s="341"/>
      <c r="N226" s="334"/>
      <c r="O226" s="1624"/>
      <c r="P226" s="1624"/>
      <c r="AH226" s="1631">
        <v>0</v>
      </c>
    </row>
    <row s="1635" customFormat="1" customHeight="1" ht="18.75" hidden="1">
      <c r="A227" s="1780" t="s">
        <v>201</v>
      </c>
      <c r="B227" s="1780" t="s">
        <v>202</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314</v>
      </c>
      <c r="M227" s="341"/>
      <c r="N227" s="334"/>
      <c r="O227" s="1624"/>
      <c r="P227" s="1624"/>
      <c r="AH227" s="1631">
        <v>0</v>
      </c>
    </row>
    <row s="1635" customFormat="1" customHeight="1" ht="18.75" hidden="1">
      <c r="A228" s="1780"/>
      <c r="B228" s="1780"/>
      <c r="C228" s="369" t="s">
        <v>1153</v>
      </c>
      <c r="D228" s="2462"/>
      <c r="E228" s="2204"/>
      <c r="F228" s="2383"/>
      <c r="G228" s="2427"/>
      <c r="H228" s="1500"/>
      <c r="I228" s="651" t="s">
        <v>1152</v>
      </c>
      <c r="J228" s="571"/>
      <c r="K228" s="1500"/>
      <c r="L228" s="214"/>
      <c r="M228" s="341"/>
      <c r="N228" s="334"/>
      <c r="O228" s="1624"/>
      <c r="P228" s="1624"/>
      <c r="AH228" s="1631">
        <v>0</v>
      </c>
    </row>
    <row s="1635" customFormat="1" customHeight="1" ht="0.75" hidden="1">
      <c r="A229" s="1780"/>
      <c r="B229" s="1780"/>
      <c r="C229" s="369" t="s">
        <v>1160</v>
      </c>
      <c r="D229" s="2462"/>
      <c r="E229" s="2204"/>
      <c r="F229" s="2383"/>
      <c r="G229" s="400"/>
      <c r="H229" s="1500"/>
      <c r="I229" s="651"/>
      <c r="J229" s="571"/>
      <c r="K229" s="1500"/>
      <c r="L229" s="214"/>
      <c r="M229" s="341"/>
      <c r="N229" s="334"/>
      <c r="O229" s="1624"/>
      <c r="P229" s="1624"/>
      <c r="AH229" s="1631">
        <v>0</v>
      </c>
    </row>
    <row s="1635" customFormat="1" customHeight="1" ht="18.75" hidden="1">
      <c r="A230" s="1780" t="s">
        <v>207</v>
      </c>
      <c r="B230" s="1780" t="s">
        <v>208</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314</v>
      </c>
      <c r="M230" s="341"/>
      <c r="N230" s="334"/>
      <c r="O230" s="1624"/>
      <c r="P230" s="1624"/>
      <c r="AH230" s="1631">
        <v>0</v>
      </c>
    </row>
    <row s="1635" customFormat="1" customHeight="1" ht="18.75" hidden="1">
      <c r="A231" s="1780"/>
      <c r="B231" s="1780"/>
      <c r="C231" s="369" t="s">
        <v>1153</v>
      </c>
      <c r="D231" s="2462"/>
      <c r="E231" s="2204"/>
      <c r="F231" s="2383"/>
      <c r="G231" s="2427"/>
      <c r="H231" s="1500"/>
      <c r="I231" s="651" t="s">
        <v>1152</v>
      </c>
      <c r="J231" s="571"/>
      <c r="K231" s="1500"/>
      <c r="L231" s="214"/>
      <c r="M231" s="341"/>
      <c r="N231" s="334"/>
      <c r="O231" s="1624"/>
      <c r="P231" s="1624"/>
      <c r="AH231" s="1631">
        <v>0</v>
      </c>
    </row>
    <row s="1635" customFormat="1" customHeight="1" ht="0.75" hidden="1">
      <c r="A232" s="1780"/>
      <c r="B232" s="1780"/>
      <c r="C232" s="369" t="s">
        <v>1160</v>
      </c>
      <c r="D232" s="2462"/>
      <c r="E232" s="2204"/>
      <c r="F232" s="2383"/>
      <c r="G232" s="400"/>
      <c r="H232" s="1500"/>
      <c r="I232" s="651"/>
      <c r="J232" s="571"/>
      <c r="K232" s="1500"/>
      <c r="L232" s="214"/>
      <c r="M232" s="341"/>
      <c r="N232" s="334"/>
      <c r="O232" s="1624"/>
      <c r="P232" s="1624"/>
      <c r="AH232" s="1631">
        <v>0</v>
      </c>
    </row>
    <row s="1635" customFormat="1" customHeight="1" ht="18.75" hidden="1">
      <c r="A233" s="1780" t="s">
        <v>213</v>
      </c>
      <c r="B233" s="1780" t="s">
        <v>214</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
      </c>
      <c r="H233" s="1989"/>
      <c r="I233" s="1739"/>
      <c r="J233" s="1773"/>
      <c r="K233" s="1778"/>
      <c r="L233" s="1989" t="s">
        <v>314</v>
      </c>
      <c r="M233" s="341"/>
      <c r="N233" s="334"/>
      <c r="O233" s="1624"/>
      <c r="P233" s="1624"/>
      <c r="AH233" s="1631">
        <v>0</v>
      </c>
    </row>
    <row s="1635" customFormat="1" customHeight="1" ht="18.75" hidden="1">
      <c r="A234" s="1780"/>
      <c r="B234" s="1780"/>
      <c r="C234" s="369" t="s">
        <v>1153</v>
      </c>
      <c r="D234" s="2462"/>
      <c r="E234" s="2204"/>
      <c r="F234" s="2383"/>
      <c r="G234" s="2427"/>
      <c r="H234" s="1500"/>
      <c r="I234" s="651" t="s">
        <v>1152</v>
      </c>
      <c r="J234" s="571"/>
      <c r="K234" s="1500"/>
      <c r="L234" s="214"/>
      <c r="M234" s="341"/>
      <c r="N234" s="334"/>
      <c r="O234" s="1624"/>
      <c r="P234" s="1624"/>
      <c r="AH234" s="1631">
        <v>0</v>
      </c>
    </row>
    <row s="1635" customFormat="1" customHeight="1" ht="0.75" hidden="1">
      <c r="A235" s="1780"/>
      <c r="B235" s="1780"/>
      <c r="C235" s="369" t="s">
        <v>1160</v>
      </c>
      <c r="D235" s="2462"/>
      <c r="E235" s="2204"/>
      <c r="F235" s="2383"/>
      <c r="G235" s="400"/>
      <c r="H235" s="1500"/>
      <c r="I235" s="651"/>
      <c r="J235" s="571"/>
      <c r="K235" s="1500"/>
      <c r="L235" s="214"/>
      <c r="M235" s="341"/>
      <c r="N235" s="334"/>
      <c r="O235" s="1624"/>
      <c r="P235" s="1624"/>
      <c r="AH235" s="1631">
        <v>0</v>
      </c>
    </row>
    <row s="1635" customFormat="1" customHeight="1" ht="18.75" hidden="1">
      <c r="A236" s="1780" t="s">
        <v>233</v>
      </c>
      <c r="B236" s="1780" t="s">
        <v>234</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
      </c>
      <c r="H236" s="1862"/>
      <c r="I236" s="1739"/>
      <c r="J236" s="1773"/>
      <c r="K236" s="1778"/>
      <c r="L236" s="1862" t="s">
        <v>314</v>
      </c>
      <c r="M236" s="341"/>
      <c r="N236" s="334"/>
      <c r="O236" s="1624"/>
      <c r="P236" s="1624"/>
      <c r="AH236" s="1631">
        <v>0</v>
      </c>
    </row>
    <row s="1635" customFormat="1" customHeight="1" ht="18.75" hidden="1">
      <c r="A237" s="1780"/>
      <c r="B237" s="1780"/>
      <c r="C237" s="369" t="s">
        <v>1153</v>
      </c>
      <c r="D237" s="2462"/>
      <c r="E237" s="2204"/>
      <c r="F237" s="2383"/>
      <c r="G237" s="2427"/>
      <c r="H237" s="1500"/>
      <c r="I237" s="651" t="s">
        <v>1152</v>
      </c>
      <c r="J237" s="571"/>
      <c r="K237" s="1500"/>
      <c r="L237" s="214"/>
      <c r="M237" s="341"/>
      <c r="N237" s="334"/>
      <c r="O237" s="1624"/>
      <c r="P237" s="1624"/>
      <c r="AH237" s="1631">
        <v>0</v>
      </c>
    </row>
    <row s="1635" customFormat="1" customHeight="1" ht="0.75" hidden="1">
      <c r="A238" s="1780"/>
      <c r="B238" s="1780"/>
      <c r="C238" s="369" t="s">
        <v>1160</v>
      </c>
      <c r="D238" s="2462"/>
      <c r="E238" s="2204"/>
      <c r="F238" s="2383"/>
      <c r="G238" s="400"/>
      <c r="H238" s="1500"/>
      <c r="I238" s="651"/>
      <c r="J238" s="571"/>
      <c r="K238" s="1500"/>
      <c r="L238" s="214"/>
      <c r="M238" s="341"/>
      <c r="N238" s="334"/>
      <c r="O238" s="1624"/>
      <c r="P238" s="1624"/>
      <c r="AH238" s="1631">
        <v>0</v>
      </c>
    </row>
    <row s="1635" customFormat="1" customHeight="1" ht="18.75" hidden="1">
      <c r="A239" s="1780" t="s">
        <v>238</v>
      </c>
      <c r="B239" s="1780" t="s">
        <v>239</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314</v>
      </c>
      <c r="M239" s="341"/>
      <c r="N239" s="334"/>
      <c r="O239" s="1624"/>
      <c r="P239" s="1624"/>
      <c r="AH239" s="1631">
        <v>0</v>
      </c>
    </row>
    <row s="1635" customFormat="1" customHeight="1" ht="18.75" hidden="1">
      <c r="A240" s="1780"/>
      <c r="B240" s="1780"/>
      <c r="C240" s="369" t="s">
        <v>1153</v>
      </c>
      <c r="D240" s="2462"/>
      <c r="E240" s="2204"/>
      <c r="F240" s="2383"/>
      <c r="G240" s="2427"/>
      <c r="H240" s="1500"/>
      <c r="I240" s="651" t="s">
        <v>1152</v>
      </c>
      <c r="J240" s="571"/>
      <c r="K240" s="1500"/>
      <c r="L240" s="214"/>
      <c r="M240" s="341"/>
      <c r="N240" s="334"/>
      <c r="O240" s="1624"/>
      <c r="P240" s="1624"/>
      <c r="AH240" s="1631">
        <v>0</v>
      </c>
    </row>
    <row s="1635" customFormat="1" customHeight="1" ht="0.75" hidden="1">
      <c r="A241" s="1780"/>
      <c r="B241" s="1780"/>
      <c r="C241" s="369" t="s">
        <v>1160</v>
      </c>
      <c r="D241" s="2462"/>
      <c r="E241" s="2204"/>
      <c r="F241" s="2383"/>
      <c r="G241" s="400"/>
      <c r="H241" s="1500"/>
      <c r="I241" s="651"/>
      <c r="J241" s="571"/>
      <c r="K241" s="1500"/>
      <c r="L241" s="214"/>
      <c r="M241" s="341"/>
      <c r="N241" s="334"/>
      <c r="O241" s="1624"/>
      <c r="P241" s="1624"/>
      <c r="AH241" s="1631">
        <v>0</v>
      </c>
    </row>
    <row s="1635" customFormat="1" customHeight="1" ht="18.75" hidden="1">
      <c r="A242" s="1780" t="s">
        <v>243</v>
      </c>
      <c r="B242" s="1780" t="s">
        <v>244</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314</v>
      </c>
      <c r="M242" s="341"/>
      <c r="N242" s="334"/>
      <c r="O242" s="1624"/>
      <c r="P242" s="1624"/>
      <c r="AH242" s="1631">
        <v>0</v>
      </c>
    </row>
    <row s="1635" customFormat="1" customHeight="1" ht="18.75" hidden="1">
      <c r="A243" s="1780"/>
      <c r="B243" s="1780"/>
      <c r="C243" s="369" t="s">
        <v>1153</v>
      </c>
      <c r="D243" s="2462"/>
      <c r="E243" s="2204"/>
      <c r="F243" s="2383"/>
      <c r="G243" s="2427"/>
      <c r="H243" s="1500"/>
      <c r="I243" s="651" t="s">
        <v>1152</v>
      </c>
      <c r="J243" s="571"/>
      <c r="K243" s="1500"/>
      <c r="L243" s="214"/>
      <c r="M243" s="341"/>
      <c r="N243" s="334"/>
      <c r="O243" s="1624"/>
      <c r="P243" s="1624"/>
      <c r="AH243" s="1631">
        <v>0</v>
      </c>
    </row>
    <row s="1635" customFormat="1" customHeight="1" ht="0.75" hidden="1">
      <c r="A244" s="1780"/>
      <c r="B244" s="1780"/>
      <c r="C244" s="369" t="s">
        <v>1160</v>
      </c>
      <c r="D244" s="2462"/>
      <c r="E244" s="2204"/>
      <c r="F244" s="2383"/>
      <c r="G244" s="400"/>
      <c r="H244" s="1500"/>
      <c r="I244" s="651"/>
      <c r="J244" s="571"/>
      <c r="K244" s="1500"/>
      <c r="L244" s="214"/>
      <c r="M244" s="341"/>
      <c r="N244" s="334"/>
      <c r="O244" s="1624"/>
      <c r="P244" s="1624"/>
      <c r="AH244" s="1631">
        <v>0</v>
      </c>
    </row>
    <row s="1635" customFormat="1" customHeight="1" ht="18.75" hidden="1">
      <c r="A245" s="1780" t="s">
        <v>248</v>
      </c>
      <c r="B245" s="1780" t="s">
        <v>249</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314</v>
      </c>
      <c r="M245" s="341"/>
      <c r="N245" s="334"/>
      <c r="O245" s="1624"/>
      <c r="P245" s="1624"/>
      <c r="AH245" s="1631">
        <v>0</v>
      </c>
    </row>
    <row s="1635" customFormat="1" customHeight="1" ht="18.75" hidden="1">
      <c r="A246" s="1780"/>
      <c r="B246" s="1780"/>
      <c r="C246" s="369" t="s">
        <v>1153</v>
      </c>
      <c r="D246" s="2462"/>
      <c r="E246" s="2204"/>
      <c r="F246" s="2383"/>
      <c r="G246" s="2427"/>
      <c r="H246" s="1500"/>
      <c r="I246" s="651" t="s">
        <v>1152</v>
      </c>
      <c r="J246" s="571"/>
      <c r="K246" s="1500"/>
      <c r="L246" s="214"/>
      <c r="M246" s="341"/>
      <c r="N246" s="334"/>
      <c r="O246" s="1624"/>
      <c r="P246" s="1624"/>
      <c r="AH246" s="1631">
        <v>0</v>
      </c>
    </row>
    <row s="1635" customFormat="1" customHeight="1" ht="0.75" hidden="1">
      <c r="A247" s="1780"/>
      <c r="B247" s="1780"/>
      <c r="C247" s="369" t="s">
        <v>1160</v>
      </c>
      <c r="D247" s="2462"/>
      <c r="E247" s="2204"/>
      <c r="F247" s="2383"/>
      <c r="G247" s="400"/>
      <c r="H247" s="1500"/>
      <c r="I247" s="651"/>
      <c r="J247" s="571"/>
      <c r="K247" s="1500"/>
      <c r="L247" s="214"/>
      <c r="M247" s="341"/>
      <c r="N247" s="334"/>
      <c r="O247" s="1624"/>
      <c r="P247" s="1624"/>
      <c r="AH247" s="1631">
        <v>0</v>
      </c>
    </row>
    <row s="1635" customFormat="1" customHeight="1" ht="18.75" hidden="1">
      <c r="A248" s="1780" t="s">
        <v>253</v>
      </c>
      <c r="B248" s="1780" t="s">
        <v>254</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314</v>
      </c>
      <c r="M248" s="341"/>
      <c r="N248" s="334"/>
      <c r="O248" s="1624"/>
      <c r="P248" s="1624"/>
      <c r="AH248" s="1631">
        <v>0</v>
      </c>
    </row>
    <row s="1635" customFormat="1" customHeight="1" ht="18.75" hidden="1">
      <c r="A249" s="1780"/>
      <c r="B249" s="1780"/>
      <c r="C249" s="369" t="s">
        <v>1153</v>
      </c>
      <c r="D249" s="2462"/>
      <c r="E249" s="2204"/>
      <c r="F249" s="2383"/>
      <c r="G249" s="2427"/>
      <c r="H249" s="1500"/>
      <c r="I249" s="651" t="s">
        <v>1152</v>
      </c>
      <c r="J249" s="571"/>
      <c r="K249" s="1500"/>
      <c r="L249" s="214"/>
      <c r="M249" s="341"/>
      <c r="N249" s="334"/>
      <c r="O249" s="1624"/>
      <c r="P249" s="1624"/>
      <c r="AH249" s="1631">
        <v>0</v>
      </c>
    </row>
    <row s="1635" customFormat="1" customHeight="1" ht="0.75" hidden="1">
      <c r="A250" s="1780"/>
      <c r="B250" s="1780"/>
      <c r="C250" s="369" t="s">
        <v>1160</v>
      </c>
      <c r="D250" s="2462"/>
      <c r="E250" s="2204"/>
      <c r="F250" s="2383"/>
      <c r="G250" s="400"/>
      <c r="H250" s="1500"/>
      <c r="I250" s="651"/>
      <c r="J250" s="571"/>
      <c r="K250" s="1500"/>
      <c r="L250" s="214"/>
      <c r="M250" s="341"/>
      <c r="N250" s="334"/>
      <c r="O250" s="1624"/>
      <c r="P250" s="1624"/>
      <c r="AH250" s="1631">
        <v>0</v>
      </c>
    </row>
    <row s="1635" customFormat="1" customHeight="1" ht="18.75" hidden="1">
      <c r="A251" s="1780" t="s">
        <v>258</v>
      </c>
      <c r="B251" s="1780" t="s">
        <v>259</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314</v>
      </c>
      <c r="M251" s="341"/>
      <c r="N251" s="334"/>
      <c r="O251" s="1624"/>
      <c r="P251" s="1624"/>
      <c r="AH251" s="1631">
        <v>0</v>
      </c>
    </row>
    <row s="1635" customFormat="1" customHeight="1" ht="18.75" hidden="1">
      <c r="A252" s="1780"/>
      <c r="B252" s="1780"/>
      <c r="C252" s="369" t="s">
        <v>1153</v>
      </c>
      <c r="D252" s="2462"/>
      <c r="E252" s="2204"/>
      <c r="F252" s="2383"/>
      <c r="G252" s="2427"/>
      <c r="H252" s="1500"/>
      <c r="I252" s="651" t="s">
        <v>1152</v>
      </c>
      <c r="J252" s="571"/>
      <c r="K252" s="1500"/>
      <c r="L252" s="214"/>
      <c r="M252" s="341"/>
      <c r="N252" s="334"/>
      <c r="O252" s="1624"/>
      <c r="P252" s="1624"/>
      <c r="AH252" s="1631">
        <v>0</v>
      </c>
    </row>
    <row s="1635" customFormat="1" customHeight="1" ht="0.75" hidden="1">
      <c r="A253" s="1780"/>
      <c r="B253" s="1780"/>
      <c r="C253" s="369" t="s">
        <v>1160</v>
      </c>
      <c r="D253" s="2462"/>
      <c r="E253" s="2204"/>
      <c r="F253" s="2383"/>
      <c r="G253" s="400"/>
      <c r="H253" s="1500"/>
      <c r="I253" s="651"/>
      <c r="J253" s="571"/>
      <c r="K253" s="1500"/>
      <c r="L253" s="214"/>
      <c r="M253" s="341"/>
      <c r="N253" s="334"/>
      <c r="O253" s="1624"/>
      <c r="P253" s="1624"/>
      <c r="AH253" s="1631">
        <v>0</v>
      </c>
    </row>
    <row s="1635" customFormat="1" customHeight="1" ht="18.75" hidden="1">
      <c r="A254" s="1780" t="s">
        <v>263</v>
      </c>
      <c r="B254" s="1780" t="s">
        <v>264</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314</v>
      </c>
      <c r="M254" s="341"/>
      <c r="N254" s="334"/>
      <c r="O254" s="1624"/>
      <c r="P254" s="1624"/>
      <c r="AH254" s="1631">
        <v>0</v>
      </c>
    </row>
    <row s="1635" customFormat="1" customHeight="1" ht="18.75" hidden="1">
      <c r="A255" s="1780"/>
      <c r="B255" s="1780"/>
      <c r="C255" s="369" t="s">
        <v>1153</v>
      </c>
      <c r="D255" s="2462"/>
      <c r="E255" s="2204"/>
      <c r="F255" s="2383"/>
      <c r="G255" s="2427"/>
      <c r="H255" s="1500"/>
      <c r="I255" s="651" t="s">
        <v>1152</v>
      </c>
      <c r="J255" s="571"/>
      <c r="K255" s="1500"/>
      <c r="L255" s="214"/>
      <c r="M255" s="341"/>
      <c r="N255" s="334"/>
      <c r="O255" s="1624"/>
      <c r="P255" s="1624"/>
      <c r="AH255" s="1631">
        <v>0</v>
      </c>
    </row>
    <row s="1635" customFormat="1" customHeight="1" ht="0.75" hidden="1">
      <c r="A256" s="1780"/>
      <c r="B256" s="1780"/>
      <c r="C256" s="369" t="s">
        <v>1160</v>
      </c>
      <c r="D256" s="2462"/>
      <c r="E256" s="2204"/>
      <c r="F256" s="2383"/>
      <c r="G256" s="400"/>
      <c r="H256" s="1500"/>
      <c r="I256" s="651"/>
      <c r="J256" s="571"/>
      <c r="K256" s="1500"/>
      <c r="L256" s="214"/>
      <c r="M256" s="341"/>
      <c r="N256" s="334"/>
      <c r="O256" s="1624"/>
      <c r="P256" s="1624"/>
      <c r="AH256" s="1631">
        <v>0</v>
      </c>
    </row>
    <row s="1635" customFormat="1" customHeight="1" ht="18.75" hidden="1">
      <c r="A257" s="1780" t="s">
        <v>268</v>
      </c>
      <c r="B257" s="1780" t="s">
        <v>269</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314</v>
      </c>
      <c r="M257" s="341"/>
      <c r="N257" s="334"/>
      <c r="O257" s="1624"/>
      <c r="P257" s="1624"/>
      <c r="AH257" s="1631">
        <v>0</v>
      </c>
    </row>
    <row s="1635" customFormat="1" customHeight="1" ht="18.75" hidden="1">
      <c r="A258" s="1780"/>
      <c r="B258" s="1780"/>
      <c r="C258" s="369" t="s">
        <v>1153</v>
      </c>
      <c r="D258" s="2462"/>
      <c r="E258" s="2204"/>
      <c r="F258" s="2383"/>
      <c r="G258" s="2427"/>
      <c r="H258" s="1500"/>
      <c r="I258" s="651" t="s">
        <v>1152</v>
      </c>
      <c r="J258" s="571"/>
      <c r="K258" s="1500"/>
      <c r="L258" s="214"/>
      <c r="M258" s="341"/>
      <c r="N258" s="334"/>
      <c r="O258" s="1624"/>
      <c r="P258" s="1624"/>
      <c r="AH258" s="1631">
        <v>0</v>
      </c>
    </row>
    <row s="1635" customFormat="1" customHeight="1" ht="0.75" hidden="1">
      <c r="A259" s="1780"/>
      <c r="B259" s="1780"/>
      <c r="C259" s="369" t="s">
        <v>1160</v>
      </c>
      <c r="D259" s="2462"/>
      <c r="E259" s="2204"/>
      <c r="F259" s="2383"/>
      <c r="G259" s="400"/>
      <c r="H259" s="1500"/>
      <c r="I259" s="651"/>
      <c r="J259" s="571"/>
      <c r="K259" s="1500"/>
      <c r="L259" s="214"/>
      <c r="M259" s="341"/>
      <c r="N259" s="334"/>
      <c r="O259" s="1624"/>
      <c r="P259" s="1624"/>
      <c r="AH259" s="1631">
        <v>0</v>
      </c>
    </row>
    <row s="1635" customFormat="1" customHeight="1" ht="18.75" hidden="1">
      <c r="A260" s="1780" t="s">
        <v>273</v>
      </c>
      <c r="B260" s="1780" t="s">
        <v>274</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314</v>
      </c>
      <c r="M260" s="341"/>
      <c r="N260" s="334"/>
      <c r="O260" s="1624"/>
      <c r="P260" s="1624"/>
      <c r="AH260" s="1631">
        <v>0</v>
      </c>
    </row>
    <row s="1635" customFormat="1" customHeight="1" ht="18.75" hidden="1">
      <c r="A261" s="1780"/>
      <c r="B261" s="1780"/>
      <c r="C261" s="369" t="s">
        <v>1153</v>
      </c>
      <c r="D261" s="2462"/>
      <c r="E261" s="2204"/>
      <c r="F261" s="2383"/>
      <c r="G261" s="2427"/>
      <c r="H261" s="1500"/>
      <c r="I261" s="651" t="s">
        <v>1152</v>
      </c>
      <c r="J261" s="571"/>
      <c r="K261" s="1500"/>
      <c r="L261" s="214"/>
      <c r="M261" s="341"/>
      <c r="N261" s="334"/>
      <c r="O261" s="1624"/>
      <c r="P261" s="1624"/>
      <c r="AH261" s="1631">
        <v>0</v>
      </c>
    </row>
    <row s="1635" customFormat="1" customHeight="1" ht="0.75" hidden="1">
      <c r="A262" s="1780"/>
      <c r="B262" s="1780"/>
      <c r="C262" s="369" t="s">
        <v>1160</v>
      </c>
      <c r="D262" s="2462"/>
      <c r="E262" s="2204"/>
      <c r="F262" s="2383"/>
      <c r="G262" s="400"/>
      <c r="H262" s="1500"/>
      <c r="I262" s="651"/>
      <c r="J262" s="571"/>
      <c r="K262" s="1500"/>
      <c r="L262" s="214"/>
      <c r="M262" s="341"/>
      <c r="N262" s="334"/>
      <c r="O262" s="1624"/>
      <c r="P262" s="1624"/>
      <c r="AH262" s="1631">
        <v>0</v>
      </c>
    </row>
    <row s="1635" customFormat="1" customHeight="1" ht="18.75" hidden="1">
      <c r="A263" s="1780" t="s">
        <v>278</v>
      </c>
      <c r="B263" s="1780" t="s">
        <v>279</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
      </c>
      <c r="H263" s="1862"/>
      <c r="I263" s="1739"/>
      <c r="J263" s="1773"/>
      <c r="K263" s="1778"/>
      <c r="L263" s="1862" t="s">
        <v>314</v>
      </c>
      <c r="M263" s="341"/>
      <c r="N263" s="334"/>
      <c r="O263" s="1624"/>
      <c r="P263" s="1624"/>
      <c r="AH263" s="1631">
        <v>0</v>
      </c>
    </row>
    <row s="1635" customFormat="1" customHeight="1" ht="18.75" hidden="1">
      <c r="A264" s="1780"/>
      <c r="B264" s="1780"/>
      <c r="C264" s="369" t="s">
        <v>1153</v>
      </c>
      <c r="D264" s="2462"/>
      <c r="E264" s="2204"/>
      <c r="F264" s="2383"/>
      <c r="G264" s="2427"/>
      <c r="H264" s="1500"/>
      <c r="I264" s="651" t="s">
        <v>1152</v>
      </c>
      <c r="J264" s="571"/>
      <c r="K264" s="1500"/>
      <c r="L264" s="214"/>
      <c r="M264" s="341"/>
      <c r="N264" s="334"/>
      <c r="O264" s="1624"/>
      <c r="P264" s="1624"/>
      <c r="AH264" s="1631">
        <v>0</v>
      </c>
    </row>
    <row s="1635" customFormat="1" customHeight="1" ht="0.75" hidden="1">
      <c r="A265" s="1780"/>
      <c r="B265" s="1780"/>
      <c r="C265" s="369" t="s">
        <v>1160</v>
      </c>
      <c r="D265" s="2462"/>
      <c r="E265" s="2204"/>
      <c r="F265" s="2383"/>
      <c r="G265" s="400"/>
      <c r="H265" s="1500"/>
      <c r="I265" s="651"/>
      <c r="J265" s="571"/>
      <c r="K265" s="1500"/>
      <c r="L265" s="214"/>
      <c r="M265" s="341"/>
      <c r="N265" s="334"/>
      <c r="O265" s="1624"/>
      <c r="P265" s="1624"/>
      <c r="AH265" s="1631">
        <v>0</v>
      </c>
    </row>
    <row s="1635" customFormat="1" customHeight="1" ht="18.75" hidden="1">
      <c r="A266" s="1780" t="s">
        <v>283</v>
      </c>
      <c r="B266" s="1780" t="s">
        <v>284</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314</v>
      </c>
      <c r="M266" s="341"/>
      <c r="N266" s="334"/>
      <c r="O266" s="1624"/>
      <c r="P266" s="1624"/>
      <c r="AH266" s="1631">
        <v>0</v>
      </c>
    </row>
    <row s="1635" customFormat="1" customHeight="1" ht="18.75" hidden="1">
      <c r="A267" s="1780"/>
      <c r="B267" s="1780"/>
      <c r="C267" s="369" t="s">
        <v>1153</v>
      </c>
      <c r="D267" s="2462"/>
      <c r="E267" s="2204"/>
      <c r="F267" s="2383"/>
      <c r="G267" s="2427"/>
      <c r="H267" s="1500"/>
      <c r="I267" s="651" t="s">
        <v>1152</v>
      </c>
      <c r="J267" s="571"/>
      <c r="K267" s="1500"/>
      <c r="L267" s="214"/>
      <c r="M267" s="341"/>
      <c r="N267" s="334"/>
      <c r="O267" s="1624"/>
      <c r="P267" s="1624"/>
      <c r="AH267" s="1631">
        <v>0</v>
      </c>
    </row>
    <row s="1635" customFormat="1" customHeight="1" ht="1.05">
      <c r="A268" s="1780"/>
      <c r="B268" s="1780"/>
      <c r="C268" s="369" t="s">
        <v>1160</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96</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0"/>
      <c r="H269" s="2460"/>
      <c r="I269" s="2460"/>
      <c r="J269" s="2460"/>
      <c r="K269" s="2460"/>
      <c r="L269" s="2460"/>
      <c r="M269" s="297"/>
      <c r="N269" s="334"/>
      <c r="AH269" s="374">
        <v>26</v>
      </c>
    </row>
    <row s="1635" customFormat="1" customHeight="1" ht="60.75" hidden="1">
      <c r="A270" s="1780" t="s">
        <v>159</v>
      </c>
      <c r="B270" s="1780" t="s">
        <v>160</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314</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1153</v>
      </c>
      <c r="D271" s="2462"/>
      <c r="E271" s="2204"/>
      <c r="F271" s="2383"/>
      <c r="G271" s="2427"/>
      <c r="H271" s="1500"/>
      <c r="I271" s="651" t="s">
        <v>1152</v>
      </c>
      <c r="J271" s="571"/>
      <c r="K271" s="1500"/>
      <c r="L271" s="214"/>
      <c r="M271" s="2170"/>
      <c r="N271" s="334"/>
      <c r="O271" s="1624"/>
      <c r="P271" s="1624"/>
      <c r="AH271" s="1631">
        <v>0</v>
      </c>
    </row>
    <row s="1635" customFormat="1" customHeight="1" ht="0.75" hidden="1">
      <c r="A272" s="1780"/>
      <c r="B272" s="1780"/>
      <c r="C272" s="369" t="s">
        <v>1160</v>
      </c>
      <c r="D272" s="2462"/>
      <c r="E272" s="2204"/>
      <c r="F272" s="2383"/>
      <c r="G272" s="400"/>
      <c r="H272" s="1500"/>
      <c r="I272" s="651"/>
      <c r="J272" s="571"/>
      <c r="K272" s="1500"/>
      <c r="L272" s="214"/>
      <c r="M272" s="2170"/>
      <c r="N272" s="334"/>
      <c r="O272" s="1624"/>
      <c r="P272" s="1624"/>
      <c r="AH272" s="1631">
        <v>0</v>
      </c>
    </row>
    <row s="1635" customFormat="1" customHeight="1" ht="45" hidden="1">
      <c r="A273" s="1780" t="s">
        <v>167</v>
      </c>
      <c r="B273" s="1780" t="s">
        <v>168</v>
      </c>
      <c r="C273" s="369"/>
      <c r="D273" s="2462"/>
      <c r="E273" s="2204"/>
      <c r="F273" s="2383"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7" t="str">
        <f>INDEX(PT_DIFFERENTIATION_NTAR,MATCH(B273,PT_DIFFERENTIATION_NTAR_ID,0))</f>
        <v>одноставочный, руб/Гкал</v>
      </c>
      <c r="H273" s="1862"/>
      <c r="I273" s="1739"/>
      <c r="J273" s="1773"/>
      <c r="K273" s="1778"/>
      <c r="L273" s="1862" t="s">
        <v>314</v>
      </c>
      <c r="M273" s="2171"/>
      <c r="N273" s="334"/>
      <c r="O273" s="1624"/>
      <c r="P273" s="1624"/>
      <c r="AH273" s="1631">
        <v>0</v>
      </c>
    </row>
    <row s="1635" customFormat="1" customHeight="1" ht="18.75" hidden="1">
      <c r="A274" s="1780"/>
      <c r="B274" s="1780"/>
      <c r="C274" s="369" t="s">
        <v>1153</v>
      </c>
      <c r="D274" s="2462"/>
      <c r="E274" s="2204"/>
      <c r="F274" s="2383"/>
      <c r="G274" s="2427"/>
      <c r="H274" s="1500"/>
      <c r="I274" s="651" t="s">
        <v>1152</v>
      </c>
      <c r="J274" s="571"/>
      <c r="K274" s="1500"/>
      <c r="L274" s="214"/>
      <c r="M274" s="1861"/>
      <c r="N274" s="334"/>
      <c r="O274" s="1624"/>
      <c r="P274" s="1624"/>
      <c r="AH274" s="1631">
        <v>0</v>
      </c>
    </row>
    <row s="1635" customFormat="1" customHeight="1" ht="0.75" hidden="1">
      <c r="A275" s="1780"/>
      <c r="B275" s="1780"/>
      <c r="C275" s="369" t="s">
        <v>1160</v>
      </c>
      <c r="D275" s="2462"/>
      <c r="E275" s="2204"/>
      <c r="F275" s="2383"/>
      <c r="G275" s="400"/>
      <c r="H275" s="1500"/>
      <c r="I275" s="651"/>
      <c r="J275" s="571"/>
      <c r="K275" s="1500"/>
      <c r="L275" s="214"/>
      <c r="M275" s="341"/>
      <c r="N275" s="334"/>
      <c r="O275" s="1624"/>
      <c r="P275" s="1624"/>
      <c r="AH275" s="1631">
        <v>0</v>
      </c>
    </row>
    <row s="1635" customFormat="1" customHeight="1" ht="45" hidden="1">
      <c r="A276" s="1780" t="s">
        <v>177</v>
      </c>
      <c r="B276" s="1780" t="s">
        <v>178</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314</v>
      </c>
      <c r="M276" s="341"/>
      <c r="N276" s="334"/>
      <c r="O276" s="1624"/>
      <c r="P276" s="1624"/>
      <c r="AH276" s="1631">
        <v>0</v>
      </c>
    </row>
    <row s="1635" customFormat="1" customHeight="1" ht="18.75" hidden="1">
      <c r="A277" s="1780"/>
      <c r="B277" s="1780"/>
      <c r="C277" s="369" t="s">
        <v>1153</v>
      </c>
      <c r="D277" s="2462"/>
      <c r="E277" s="2204"/>
      <c r="F277" s="2383"/>
      <c r="G277" s="2427"/>
      <c r="H277" s="1500"/>
      <c r="I277" s="651" t="s">
        <v>1152</v>
      </c>
      <c r="J277" s="571"/>
      <c r="K277" s="1500"/>
      <c r="L277" s="214"/>
      <c r="M277" s="341"/>
      <c r="N277" s="334"/>
      <c r="O277" s="1624"/>
      <c r="P277" s="1624"/>
      <c r="AH277" s="1631">
        <v>0</v>
      </c>
    </row>
    <row s="1635" customFormat="1" customHeight="1" ht="0.75" hidden="1">
      <c r="A278" s="1780"/>
      <c r="B278" s="1780"/>
      <c r="C278" s="369" t="s">
        <v>1160</v>
      </c>
      <c r="D278" s="2462"/>
      <c r="E278" s="2204"/>
      <c r="F278" s="2383"/>
      <c r="G278" s="400"/>
      <c r="H278" s="1500"/>
      <c r="I278" s="651"/>
      <c r="J278" s="571"/>
      <c r="K278" s="1500"/>
      <c r="L278" s="214"/>
      <c r="M278" s="341"/>
      <c r="N278" s="334"/>
      <c r="O278" s="1624"/>
      <c r="P278" s="1624"/>
      <c r="AH278" s="1631">
        <v>0</v>
      </c>
    </row>
    <row s="1635" customFormat="1" customHeight="1" ht="45" hidden="1">
      <c r="A279" s="1780" t="s">
        <v>183</v>
      </c>
      <c r="B279" s="1780" t="s">
        <v>184</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314</v>
      </c>
      <c r="M279" s="341"/>
      <c r="N279" s="334"/>
      <c r="O279" s="1624"/>
      <c r="P279" s="1624"/>
      <c r="AH279" s="1631">
        <v>0</v>
      </c>
    </row>
    <row s="1635" customFormat="1" customHeight="1" ht="18.75" hidden="1">
      <c r="A280" s="1780"/>
      <c r="B280" s="1780"/>
      <c r="C280" s="369" t="s">
        <v>1153</v>
      </c>
      <c r="D280" s="2462"/>
      <c r="E280" s="2204"/>
      <c r="F280" s="2383"/>
      <c r="G280" s="2427"/>
      <c r="H280" s="1500"/>
      <c r="I280" s="651" t="s">
        <v>1152</v>
      </c>
      <c r="J280" s="571"/>
      <c r="K280" s="1500"/>
      <c r="L280" s="214"/>
      <c r="M280" s="341"/>
      <c r="N280" s="334"/>
      <c r="O280" s="1624"/>
      <c r="P280" s="1624"/>
      <c r="AH280" s="1631">
        <v>0</v>
      </c>
    </row>
    <row s="1635" customFormat="1" customHeight="1" ht="0.75" hidden="1">
      <c r="A281" s="1780"/>
      <c r="B281" s="1780"/>
      <c r="C281" s="369" t="s">
        <v>1160</v>
      </c>
      <c r="D281" s="2462"/>
      <c r="E281" s="2204"/>
      <c r="F281" s="2383"/>
      <c r="G281" s="400"/>
      <c r="H281" s="1500"/>
      <c r="I281" s="651"/>
      <c r="J281" s="571"/>
      <c r="K281" s="1500"/>
      <c r="L281" s="214"/>
      <c r="M281" s="341"/>
      <c r="N281" s="334"/>
      <c r="O281" s="1624"/>
      <c r="P281" s="1624"/>
      <c r="AH281" s="1631">
        <v>0</v>
      </c>
    </row>
    <row s="1635" customFormat="1" customHeight="1" ht="18.75" hidden="1">
      <c r="A282" s="1780" t="s">
        <v>189</v>
      </c>
      <c r="B282" s="1780" t="s">
        <v>190</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314</v>
      </c>
      <c r="M282" s="341"/>
      <c r="N282" s="334"/>
      <c r="O282" s="1624"/>
      <c r="P282" s="1624"/>
      <c r="AH282" s="1631">
        <v>0</v>
      </c>
    </row>
    <row s="1635" customFormat="1" customHeight="1" ht="18.75" hidden="1">
      <c r="A283" s="1780"/>
      <c r="B283" s="1780"/>
      <c r="C283" s="369" t="s">
        <v>1153</v>
      </c>
      <c r="D283" s="2462"/>
      <c r="E283" s="2204"/>
      <c r="F283" s="2383"/>
      <c r="G283" s="2427"/>
      <c r="H283" s="1500"/>
      <c r="I283" s="651" t="s">
        <v>1152</v>
      </c>
      <c r="J283" s="571"/>
      <c r="K283" s="1500"/>
      <c r="L283" s="214"/>
      <c r="M283" s="341"/>
      <c r="N283" s="334"/>
      <c r="O283" s="1624"/>
      <c r="P283" s="1624"/>
      <c r="AH283" s="1631">
        <v>0</v>
      </c>
    </row>
    <row s="1635" customFormat="1" customHeight="1" ht="0.75" hidden="1">
      <c r="A284" s="1780"/>
      <c r="B284" s="1780"/>
      <c r="C284" s="369" t="s">
        <v>1160</v>
      </c>
      <c r="D284" s="2462"/>
      <c r="E284" s="2204"/>
      <c r="F284" s="2383"/>
      <c r="G284" s="400"/>
      <c r="H284" s="1500"/>
      <c r="I284" s="651"/>
      <c r="J284" s="571"/>
      <c r="K284" s="1500"/>
      <c r="L284" s="214"/>
      <c r="M284" s="341"/>
      <c r="N284" s="334"/>
      <c r="O284" s="1624"/>
      <c r="P284" s="1624"/>
      <c r="AH284" s="1631">
        <v>0</v>
      </c>
    </row>
    <row s="1635" customFormat="1" customHeight="1" ht="18.75" hidden="1">
      <c r="A285" s="1780" t="s">
        <v>195</v>
      </c>
      <c r="B285" s="1780" t="s">
        <v>196</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314</v>
      </c>
      <c r="M285" s="341"/>
      <c r="N285" s="334"/>
      <c r="O285" s="1624"/>
      <c r="P285" s="1624"/>
      <c r="AH285" s="1631">
        <v>0</v>
      </c>
    </row>
    <row s="1635" customFormat="1" customHeight="1" ht="18.75" hidden="1">
      <c r="A286" s="1780"/>
      <c r="B286" s="1780"/>
      <c r="C286" s="369" t="s">
        <v>1153</v>
      </c>
      <c r="D286" s="2462"/>
      <c r="E286" s="2204"/>
      <c r="F286" s="2383"/>
      <c r="G286" s="2427"/>
      <c r="H286" s="1500"/>
      <c r="I286" s="651" t="s">
        <v>1152</v>
      </c>
      <c r="J286" s="571"/>
      <c r="K286" s="1500"/>
      <c r="L286" s="214"/>
      <c r="M286" s="341"/>
      <c r="N286" s="334"/>
      <c r="O286" s="1624"/>
      <c r="P286" s="1624"/>
      <c r="AH286" s="1631">
        <v>0</v>
      </c>
    </row>
    <row s="1635" customFormat="1" customHeight="1" ht="0.75" hidden="1">
      <c r="A287" s="1780"/>
      <c r="B287" s="1780"/>
      <c r="C287" s="369" t="s">
        <v>1160</v>
      </c>
      <c r="D287" s="2462"/>
      <c r="E287" s="2204"/>
      <c r="F287" s="2383"/>
      <c r="G287" s="400"/>
      <c r="H287" s="1500"/>
      <c r="I287" s="651"/>
      <c r="J287" s="571"/>
      <c r="K287" s="1500"/>
      <c r="L287" s="214"/>
      <c r="M287" s="341"/>
      <c r="N287" s="334"/>
      <c r="O287" s="1624"/>
      <c r="P287" s="1624"/>
      <c r="AH287" s="1631">
        <v>0</v>
      </c>
    </row>
    <row s="1635" customFormat="1" customHeight="1" ht="18.75" hidden="1">
      <c r="A288" s="1780" t="s">
        <v>201</v>
      </c>
      <c r="B288" s="1780" t="s">
        <v>202</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314</v>
      </c>
      <c r="M288" s="341"/>
      <c r="N288" s="334"/>
      <c r="O288" s="1624"/>
      <c r="P288" s="1624"/>
      <c r="AH288" s="1631">
        <v>0</v>
      </c>
    </row>
    <row s="1635" customFormat="1" customHeight="1" ht="18.75" hidden="1">
      <c r="A289" s="1780"/>
      <c r="B289" s="1780"/>
      <c r="C289" s="369" t="s">
        <v>1153</v>
      </c>
      <c r="D289" s="2462"/>
      <c r="E289" s="2204"/>
      <c r="F289" s="2383"/>
      <c r="G289" s="2427"/>
      <c r="H289" s="1500"/>
      <c r="I289" s="651" t="s">
        <v>1152</v>
      </c>
      <c r="J289" s="571"/>
      <c r="K289" s="1500"/>
      <c r="L289" s="214"/>
      <c r="M289" s="341"/>
      <c r="N289" s="334"/>
      <c r="O289" s="1624"/>
      <c r="P289" s="1624"/>
      <c r="AH289" s="1631">
        <v>0</v>
      </c>
    </row>
    <row s="1635" customFormat="1" customHeight="1" ht="0.75" hidden="1">
      <c r="A290" s="1780"/>
      <c r="B290" s="1780"/>
      <c r="C290" s="369" t="s">
        <v>1160</v>
      </c>
      <c r="D290" s="2462"/>
      <c r="E290" s="2204"/>
      <c r="F290" s="2383"/>
      <c r="G290" s="400"/>
      <c r="H290" s="1500"/>
      <c r="I290" s="651"/>
      <c r="J290" s="571"/>
      <c r="K290" s="1500"/>
      <c r="L290" s="214"/>
      <c r="M290" s="341"/>
      <c r="N290" s="334"/>
      <c r="O290" s="1624"/>
      <c r="P290" s="1624"/>
      <c r="AH290" s="1631">
        <v>0</v>
      </c>
    </row>
    <row s="1635" customFormat="1" customHeight="1" ht="18.75" hidden="1">
      <c r="A291" s="1780" t="s">
        <v>207</v>
      </c>
      <c r="B291" s="1780" t="s">
        <v>208</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314</v>
      </c>
      <c r="M291" s="341"/>
      <c r="N291" s="334"/>
      <c r="O291" s="1624"/>
      <c r="P291" s="1624"/>
      <c r="AH291" s="1631">
        <v>0</v>
      </c>
    </row>
    <row s="1635" customFormat="1" customHeight="1" ht="18.75" hidden="1">
      <c r="A292" s="1780"/>
      <c r="B292" s="1780"/>
      <c r="C292" s="369" t="s">
        <v>1153</v>
      </c>
      <c r="D292" s="2462"/>
      <c r="E292" s="2204"/>
      <c r="F292" s="2383"/>
      <c r="G292" s="2427"/>
      <c r="H292" s="1500"/>
      <c r="I292" s="651" t="s">
        <v>1152</v>
      </c>
      <c r="J292" s="571"/>
      <c r="K292" s="1500"/>
      <c r="L292" s="214"/>
      <c r="M292" s="341"/>
      <c r="N292" s="334"/>
      <c r="O292" s="1624"/>
      <c r="P292" s="1624"/>
      <c r="AH292" s="1631">
        <v>0</v>
      </c>
    </row>
    <row s="1635" customFormat="1" customHeight="1" ht="0.75" hidden="1">
      <c r="A293" s="1780"/>
      <c r="B293" s="1780"/>
      <c r="C293" s="369" t="s">
        <v>1160</v>
      </c>
      <c r="D293" s="2462"/>
      <c r="E293" s="2204"/>
      <c r="F293" s="2383"/>
      <c r="G293" s="400"/>
      <c r="H293" s="1500"/>
      <c r="I293" s="651"/>
      <c r="J293" s="571"/>
      <c r="K293" s="1500"/>
      <c r="L293" s="214"/>
      <c r="M293" s="341"/>
      <c r="N293" s="334"/>
      <c r="O293" s="1624"/>
      <c r="P293" s="1624"/>
      <c r="AH293" s="1631">
        <v>0</v>
      </c>
    </row>
    <row s="1635" customFormat="1" customHeight="1" ht="18.75" hidden="1">
      <c r="A294" s="1780" t="s">
        <v>213</v>
      </c>
      <c r="B294" s="1780" t="s">
        <v>214</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
      </c>
      <c r="H294" s="1989"/>
      <c r="I294" s="1739"/>
      <c r="J294" s="1773"/>
      <c r="K294" s="1778"/>
      <c r="L294" s="1989" t="s">
        <v>314</v>
      </c>
      <c r="M294" s="341"/>
      <c r="N294" s="334"/>
      <c r="O294" s="1624"/>
      <c r="P294" s="1624"/>
      <c r="AH294" s="1631">
        <v>0</v>
      </c>
    </row>
    <row s="1635" customFormat="1" customHeight="1" ht="18.75" hidden="1">
      <c r="A295" s="1780"/>
      <c r="B295" s="1780"/>
      <c r="C295" s="369" t="s">
        <v>1153</v>
      </c>
      <c r="D295" s="2462"/>
      <c r="E295" s="2204"/>
      <c r="F295" s="2383"/>
      <c r="G295" s="2427"/>
      <c r="H295" s="1500"/>
      <c r="I295" s="651" t="s">
        <v>1152</v>
      </c>
      <c r="J295" s="571"/>
      <c r="K295" s="1500"/>
      <c r="L295" s="214"/>
      <c r="M295" s="341"/>
      <c r="N295" s="334"/>
      <c r="O295" s="1624"/>
      <c r="P295" s="1624"/>
      <c r="AH295" s="1631">
        <v>0</v>
      </c>
    </row>
    <row s="1635" customFormat="1" customHeight="1" ht="0.75" hidden="1">
      <c r="A296" s="1780"/>
      <c r="B296" s="1780"/>
      <c r="C296" s="369" t="s">
        <v>1160</v>
      </c>
      <c r="D296" s="2462"/>
      <c r="E296" s="2204"/>
      <c r="F296" s="2383"/>
      <c r="G296" s="400"/>
      <c r="H296" s="1500"/>
      <c r="I296" s="651"/>
      <c r="J296" s="571"/>
      <c r="K296" s="1500"/>
      <c r="L296" s="214"/>
      <c r="M296" s="341"/>
      <c r="N296" s="334"/>
      <c r="O296" s="1624"/>
      <c r="P296" s="1624"/>
      <c r="AH296" s="1631">
        <v>0</v>
      </c>
    </row>
    <row s="1635" customFormat="1" customHeight="1" ht="18.75" hidden="1">
      <c r="A297" s="1780" t="s">
        <v>233</v>
      </c>
      <c r="B297" s="1780" t="s">
        <v>234</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
      </c>
      <c r="H297" s="1862"/>
      <c r="I297" s="1739"/>
      <c r="J297" s="1773"/>
      <c r="K297" s="1778"/>
      <c r="L297" s="1862" t="s">
        <v>314</v>
      </c>
      <c r="M297" s="341"/>
      <c r="N297" s="334"/>
      <c r="O297" s="1624"/>
      <c r="P297" s="1624"/>
      <c r="AH297" s="1631">
        <v>0</v>
      </c>
    </row>
    <row s="1635" customFormat="1" customHeight="1" ht="18.75" hidden="1">
      <c r="A298" s="1780"/>
      <c r="B298" s="1780"/>
      <c r="C298" s="369" t="s">
        <v>1153</v>
      </c>
      <c r="D298" s="2462"/>
      <c r="E298" s="2204"/>
      <c r="F298" s="2383"/>
      <c r="G298" s="2427"/>
      <c r="H298" s="1500"/>
      <c r="I298" s="651" t="s">
        <v>1152</v>
      </c>
      <c r="J298" s="571"/>
      <c r="K298" s="1500"/>
      <c r="L298" s="214"/>
      <c r="M298" s="341"/>
      <c r="N298" s="334"/>
      <c r="O298" s="1624"/>
      <c r="P298" s="1624"/>
      <c r="AH298" s="1631">
        <v>0</v>
      </c>
    </row>
    <row s="1635" customFormat="1" customHeight="1" ht="0.75" hidden="1">
      <c r="A299" s="1780"/>
      <c r="B299" s="1780"/>
      <c r="C299" s="369" t="s">
        <v>1160</v>
      </c>
      <c r="D299" s="2462"/>
      <c r="E299" s="2204"/>
      <c r="F299" s="2383"/>
      <c r="G299" s="400"/>
      <c r="H299" s="1500"/>
      <c r="I299" s="651"/>
      <c r="J299" s="571"/>
      <c r="K299" s="1500"/>
      <c r="L299" s="214"/>
      <c r="M299" s="341"/>
      <c r="N299" s="334"/>
      <c r="O299" s="1624"/>
      <c r="P299" s="1624"/>
      <c r="AH299" s="1631">
        <v>0</v>
      </c>
    </row>
    <row s="1635" customFormat="1" customHeight="1" ht="18.75" hidden="1">
      <c r="A300" s="1780" t="s">
        <v>238</v>
      </c>
      <c r="B300" s="1780" t="s">
        <v>239</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314</v>
      </c>
      <c r="M300" s="341"/>
      <c r="N300" s="334"/>
      <c r="O300" s="1624"/>
      <c r="P300" s="1624"/>
      <c r="AH300" s="1631">
        <v>0</v>
      </c>
    </row>
    <row s="1635" customFormat="1" customHeight="1" ht="18.75" hidden="1">
      <c r="A301" s="1780"/>
      <c r="B301" s="1780"/>
      <c r="C301" s="369" t="s">
        <v>1153</v>
      </c>
      <c r="D301" s="2462"/>
      <c r="E301" s="2204"/>
      <c r="F301" s="2383"/>
      <c r="G301" s="2427"/>
      <c r="H301" s="1500"/>
      <c r="I301" s="651" t="s">
        <v>1152</v>
      </c>
      <c r="J301" s="571"/>
      <c r="K301" s="1500"/>
      <c r="L301" s="214"/>
      <c r="M301" s="341"/>
      <c r="N301" s="334"/>
      <c r="O301" s="1624"/>
      <c r="P301" s="1624"/>
      <c r="AH301" s="1631">
        <v>0</v>
      </c>
    </row>
    <row s="1635" customFormat="1" customHeight="1" ht="0.75" hidden="1">
      <c r="A302" s="1780"/>
      <c r="B302" s="1780"/>
      <c r="C302" s="369" t="s">
        <v>1160</v>
      </c>
      <c r="D302" s="2462"/>
      <c r="E302" s="2204"/>
      <c r="F302" s="2383"/>
      <c r="G302" s="400"/>
      <c r="H302" s="1500"/>
      <c r="I302" s="651"/>
      <c r="J302" s="571"/>
      <c r="K302" s="1500"/>
      <c r="L302" s="214"/>
      <c r="M302" s="341"/>
      <c r="N302" s="334"/>
      <c r="O302" s="1624"/>
      <c r="P302" s="1624"/>
      <c r="AH302" s="1631">
        <v>0</v>
      </c>
    </row>
    <row s="1635" customFormat="1" customHeight="1" ht="18.75" hidden="1">
      <c r="A303" s="1780" t="s">
        <v>243</v>
      </c>
      <c r="B303" s="1780" t="s">
        <v>244</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314</v>
      </c>
      <c r="M303" s="341"/>
      <c r="N303" s="334"/>
      <c r="O303" s="1624"/>
      <c r="P303" s="1624"/>
      <c r="AH303" s="1631">
        <v>0</v>
      </c>
    </row>
    <row s="1635" customFormat="1" customHeight="1" ht="18.75" hidden="1">
      <c r="A304" s="1780"/>
      <c r="B304" s="1780"/>
      <c r="C304" s="369" t="s">
        <v>1153</v>
      </c>
      <c r="D304" s="2462"/>
      <c r="E304" s="2204"/>
      <c r="F304" s="2383"/>
      <c r="G304" s="2427"/>
      <c r="H304" s="1500"/>
      <c r="I304" s="651" t="s">
        <v>1152</v>
      </c>
      <c r="J304" s="571"/>
      <c r="K304" s="1500"/>
      <c r="L304" s="214"/>
      <c r="M304" s="341"/>
      <c r="N304" s="334"/>
      <c r="O304" s="1624"/>
      <c r="P304" s="1624"/>
      <c r="AH304" s="1631">
        <v>0</v>
      </c>
    </row>
    <row s="1635" customFormat="1" customHeight="1" ht="0.75" hidden="1">
      <c r="A305" s="1780"/>
      <c r="B305" s="1780"/>
      <c r="C305" s="369" t="s">
        <v>1160</v>
      </c>
      <c r="D305" s="2462"/>
      <c r="E305" s="2204"/>
      <c r="F305" s="2383"/>
      <c r="G305" s="400"/>
      <c r="H305" s="1500"/>
      <c r="I305" s="651"/>
      <c r="J305" s="571"/>
      <c r="K305" s="1500"/>
      <c r="L305" s="214"/>
      <c r="M305" s="341"/>
      <c r="N305" s="334"/>
      <c r="O305" s="1624"/>
      <c r="P305" s="1624"/>
      <c r="AH305" s="1631">
        <v>0</v>
      </c>
    </row>
    <row s="1635" customFormat="1" customHeight="1" ht="18.75" hidden="1">
      <c r="A306" s="1780" t="s">
        <v>248</v>
      </c>
      <c r="B306" s="1780" t="s">
        <v>249</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314</v>
      </c>
      <c r="M306" s="341"/>
      <c r="N306" s="334"/>
      <c r="O306" s="1624"/>
      <c r="P306" s="1624"/>
      <c r="AH306" s="1631">
        <v>0</v>
      </c>
    </row>
    <row s="1635" customFormat="1" customHeight="1" ht="18.75" hidden="1">
      <c r="A307" s="1780"/>
      <c r="B307" s="1780"/>
      <c r="C307" s="369" t="s">
        <v>1153</v>
      </c>
      <c r="D307" s="2462"/>
      <c r="E307" s="2204"/>
      <c r="F307" s="2383"/>
      <c r="G307" s="2427"/>
      <c r="H307" s="1500"/>
      <c r="I307" s="651" t="s">
        <v>1152</v>
      </c>
      <c r="J307" s="571"/>
      <c r="K307" s="1500"/>
      <c r="L307" s="214"/>
      <c r="M307" s="341"/>
      <c r="N307" s="334"/>
      <c r="O307" s="1624"/>
      <c r="P307" s="1624"/>
      <c r="AH307" s="1631">
        <v>0</v>
      </c>
    </row>
    <row s="1635" customFormat="1" customHeight="1" ht="0.75" hidden="1">
      <c r="A308" s="1780"/>
      <c r="B308" s="1780"/>
      <c r="C308" s="369" t="s">
        <v>1160</v>
      </c>
      <c r="D308" s="2462"/>
      <c r="E308" s="2204"/>
      <c r="F308" s="2383"/>
      <c r="G308" s="400"/>
      <c r="H308" s="1500"/>
      <c r="I308" s="651"/>
      <c r="J308" s="571"/>
      <c r="K308" s="1500"/>
      <c r="L308" s="214"/>
      <c r="M308" s="341"/>
      <c r="N308" s="334"/>
      <c r="O308" s="1624"/>
      <c r="P308" s="1624"/>
      <c r="AH308" s="1631">
        <v>0</v>
      </c>
    </row>
    <row s="1635" customFormat="1" customHeight="1" ht="18.75" hidden="1">
      <c r="A309" s="1780" t="s">
        <v>253</v>
      </c>
      <c r="B309" s="1780" t="s">
        <v>254</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314</v>
      </c>
      <c r="M309" s="341"/>
      <c r="N309" s="334"/>
      <c r="O309" s="1624"/>
      <c r="P309" s="1624"/>
      <c r="AH309" s="1631">
        <v>0</v>
      </c>
    </row>
    <row s="1635" customFormat="1" customHeight="1" ht="18.75" hidden="1">
      <c r="A310" s="1780"/>
      <c r="B310" s="1780"/>
      <c r="C310" s="369" t="s">
        <v>1153</v>
      </c>
      <c r="D310" s="2462"/>
      <c r="E310" s="2204"/>
      <c r="F310" s="2383"/>
      <c r="G310" s="2427"/>
      <c r="H310" s="1500"/>
      <c r="I310" s="651" t="s">
        <v>1152</v>
      </c>
      <c r="J310" s="571"/>
      <c r="K310" s="1500"/>
      <c r="L310" s="214"/>
      <c r="M310" s="341"/>
      <c r="N310" s="334"/>
      <c r="O310" s="1624"/>
      <c r="P310" s="1624"/>
      <c r="AH310" s="1631">
        <v>0</v>
      </c>
    </row>
    <row s="1635" customFormat="1" customHeight="1" ht="0.75" hidden="1">
      <c r="A311" s="1780"/>
      <c r="B311" s="1780"/>
      <c r="C311" s="369" t="s">
        <v>1160</v>
      </c>
      <c r="D311" s="2462"/>
      <c r="E311" s="2204"/>
      <c r="F311" s="2383"/>
      <c r="G311" s="400"/>
      <c r="H311" s="1500"/>
      <c r="I311" s="651"/>
      <c r="J311" s="571"/>
      <c r="K311" s="1500"/>
      <c r="L311" s="214"/>
      <c r="M311" s="341"/>
      <c r="N311" s="334"/>
      <c r="O311" s="1624"/>
      <c r="P311" s="1624"/>
      <c r="AH311" s="1631">
        <v>0</v>
      </c>
    </row>
    <row s="1635" customFormat="1" customHeight="1" ht="18.75" hidden="1">
      <c r="A312" s="1780" t="s">
        <v>258</v>
      </c>
      <c r="B312" s="1780" t="s">
        <v>259</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314</v>
      </c>
      <c r="M312" s="341"/>
      <c r="N312" s="334"/>
      <c r="O312" s="1624"/>
      <c r="P312" s="1624"/>
      <c r="AH312" s="1631">
        <v>0</v>
      </c>
    </row>
    <row s="1635" customFormat="1" customHeight="1" ht="18.75" hidden="1">
      <c r="A313" s="1780"/>
      <c r="B313" s="1780"/>
      <c r="C313" s="369" t="s">
        <v>1153</v>
      </c>
      <c r="D313" s="2462"/>
      <c r="E313" s="2204"/>
      <c r="F313" s="2383"/>
      <c r="G313" s="2427"/>
      <c r="H313" s="1500"/>
      <c r="I313" s="651" t="s">
        <v>1152</v>
      </c>
      <c r="J313" s="571"/>
      <c r="K313" s="1500"/>
      <c r="L313" s="214"/>
      <c r="M313" s="341"/>
      <c r="N313" s="334"/>
      <c r="O313" s="1624"/>
      <c r="P313" s="1624"/>
      <c r="AH313" s="1631">
        <v>0</v>
      </c>
    </row>
    <row s="1635" customFormat="1" customHeight="1" ht="0.75" hidden="1">
      <c r="A314" s="1780"/>
      <c r="B314" s="1780"/>
      <c r="C314" s="369" t="s">
        <v>1160</v>
      </c>
      <c r="D314" s="2462"/>
      <c r="E314" s="2204"/>
      <c r="F314" s="2383"/>
      <c r="G314" s="400"/>
      <c r="H314" s="1500"/>
      <c r="I314" s="651"/>
      <c r="J314" s="571"/>
      <c r="K314" s="1500"/>
      <c r="L314" s="214"/>
      <c r="M314" s="341"/>
      <c r="N314" s="334"/>
      <c r="O314" s="1624"/>
      <c r="P314" s="1624"/>
      <c r="AH314" s="1631">
        <v>0</v>
      </c>
    </row>
    <row s="1635" customFormat="1" customHeight="1" ht="18.75" hidden="1">
      <c r="A315" s="1780" t="s">
        <v>263</v>
      </c>
      <c r="B315" s="1780" t="s">
        <v>264</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314</v>
      </c>
      <c r="M315" s="341"/>
      <c r="N315" s="334"/>
      <c r="O315" s="1624"/>
      <c r="P315" s="1624"/>
      <c r="AH315" s="1631">
        <v>0</v>
      </c>
    </row>
    <row s="1635" customFormat="1" customHeight="1" ht="18.75" hidden="1">
      <c r="A316" s="1780"/>
      <c r="B316" s="1780"/>
      <c r="C316" s="369" t="s">
        <v>1153</v>
      </c>
      <c r="D316" s="2462"/>
      <c r="E316" s="2204"/>
      <c r="F316" s="2383"/>
      <c r="G316" s="2427"/>
      <c r="H316" s="1500"/>
      <c r="I316" s="651" t="s">
        <v>1152</v>
      </c>
      <c r="J316" s="571"/>
      <c r="K316" s="1500"/>
      <c r="L316" s="214"/>
      <c r="M316" s="341"/>
      <c r="N316" s="334"/>
      <c r="O316" s="1624"/>
      <c r="P316" s="1624"/>
      <c r="AH316" s="1631">
        <v>0</v>
      </c>
    </row>
    <row s="1635" customFormat="1" customHeight="1" ht="0.75" hidden="1">
      <c r="A317" s="1780"/>
      <c r="B317" s="1780"/>
      <c r="C317" s="369" t="s">
        <v>1160</v>
      </c>
      <c r="D317" s="2462"/>
      <c r="E317" s="2204"/>
      <c r="F317" s="2383"/>
      <c r="G317" s="400"/>
      <c r="H317" s="1500"/>
      <c r="I317" s="651"/>
      <c r="J317" s="571"/>
      <c r="K317" s="1500"/>
      <c r="L317" s="214"/>
      <c r="M317" s="341"/>
      <c r="N317" s="334"/>
      <c r="O317" s="1624"/>
      <c r="P317" s="1624"/>
      <c r="AH317" s="1631">
        <v>0</v>
      </c>
    </row>
    <row s="1635" customFormat="1" customHeight="1" ht="18.75" hidden="1">
      <c r="A318" s="1780" t="s">
        <v>268</v>
      </c>
      <c r="B318" s="1780" t="s">
        <v>269</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314</v>
      </c>
      <c r="M318" s="341"/>
      <c r="N318" s="334"/>
      <c r="O318" s="1624"/>
      <c r="P318" s="1624"/>
      <c r="AH318" s="1631">
        <v>0</v>
      </c>
    </row>
    <row s="1635" customFormat="1" customHeight="1" ht="18.75" hidden="1">
      <c r="A319" s="1780"/>
      <c r="B319" s="1780"/>
      <c r="C319" s="369" t="s">
        <v>1153</v>
      </c>
      <c r="D319" s="2462"/>
      <c r="E319" s="2204"/>
      <c r="F319" s="2383"/>
      <c r="G319" s="2427"/>
      <c r="H319" s="1500"/>
      <c r="I319" s="651" t="s">
        <v>1152</v>
      </c>
      <c r="J319" s="571"/>
      <c r="K319" s="1500"/>
      <c r="L319" s="214"/>
      <c r="M319" s="341"/>
      <c r="N319" s="334"/>
      <c r="O319" s="1624"/>
      <c r="P319" s="1624"/>
      <c r="AH319" s="1631">
        <v>0</v>
      </c>
    </row>
    <row s="1635" customFormat="1" customHeight="1" ht="0.75" hidden="1">
      <c r="A320" s="1780"/>
      <c r="B320" s="1780"/>
      <c r="C320" s="369" t="s">
        <v>1160</v>
      </c>
      <c r="D320" s="2462"/>
      <c r="E320" s="2204"/>
      <c r="F320" s="2383"/>
      <c r="G320" s="400"/>
      <c r="H320" s="1500"/>
      <c r="I320" s="651"/>
      <c r="J320" s="571"/>
      <c r="K320" s="1500"/>
      <c r="L320" s="214"/>
      <c r="M320" s="341"/>
      <c r="N320" s="334"/>
      <c r="O320" s="1624"/>
      <c r="P320" s="1624"/>
      <c r="AH320" s="1631">
        <v>0</v>
      </c>
    </row>
    <row s="1635" customFormat="1" customHeight="1" ht="18.75" hidden="1">
      <c r="A321" s="1780" t="s">
        <v>273</v>
      </c>
      <c r="B321" s="1780" t="s">
        <v>274</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314</v>
      </c>
      <c r="M321" s="341"/>
      <c r="N321" s="334"/>
      <c r="O321" s="1624"/>
      <c r="P321" s="1624"/>
      <c r="AH321" s="1631">
        <v>0</v>
      </c>
    </row>
    <row s="1635" customFormat="1" customHeight="1" ht="18.75" hidden="1">
      <c r="A322" s="1780"/>
      <c r="B322" s="1780"/>
      <c r="C322" s="369" t="s">
        <v>1153</v>
      </c>
      <c r="D322" s="2462"/>
      <c r="E322" s="2204"/>
      <c r="F322" s="2383"/>
      <c r="G322" s="2427"/>
      <c r="H322" s="1500"/>
      <c r="I322" s="651" t="s">
        <v>1152</v>
      </c>
      <c r="J322" s="571"/>
      <c r="K322" s="1500"/>
      <c r="L322" s="214"/>
      <c r="M322" s="341"/>
      <c r="N322" s="334"/>
      <c r="O322" s="1624"/>
      <c r="P322" s="1624"/>
      <c r="AH322" s="1631">
        <v>0</v>
      </c>
    </row>
    <row s="1635" customFormat="1" customHeight="1" ht="0.75" hidden="1">
      <c r="A323" s="1780"/>
      <c r="B323" s="1780"/>
      <c r="C323" s="369" t="s">
        <v>1160</v>
      </c>
      <c r="D323" s="2462"/>
      <c r="E323" s="2204"/>
      <c r="F323" s="2383"/>
      <c r="G323" s="400"/>
      <c r="H323" s="1500"/>
      <c r="I323" s="651"/>
      <c r="J323" s="571"/>
      <c r="K323" s="1500"/>
      <c r="L323" s="214"/>
      <c r="M323" s="341"/>
      <c r="N323" s="334"/>
      <c r="O323" s="1624"/>
      <c r="P323" s="1624"/>
      <c r="AH323" s="1631">
        <v>0</v>
      </c>
    </row>
    <row s="1635" customFormat="1" customHeight="1" ht="18.75" hidden="1">
      <c r="A324" s="1780" t="s">
        <v>278</v>
      </c>
      <c r="B324" s="1780" t="s">
        <v>279</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
      </c>
      <c r="H324" s="1862"/>
      <c r="I324" s="1739"/>
      <c r="J324" s="1773"/>
      <c r="K324" s="1778"/>
      <c r="L324" s="1862" t="s">
        <v>314</v>
      </c>
      <c r="M324" s="341"/>
      <c r="N324" s="334"/>
      <c r="O324" s="1624"/>
      <c r="P324" s="1624"/>
      <c r="AH324" s="1631">
        <v>0</v>
      </c>
    </row>
    <row s="1635" customFormat="1" customHeight="1" ht="18.75" hidden="1">
      <c r="A325" s="1780"/>
      <c r="B325" s="1780"/>
      <c r="C325" s="369" t="s">
        <v>1153</v>
      </c>
      <c r="D325" s="2462"/>
      <c r="E325" s="2204"/>
      <c r="F325" s="2383"/>
      <c r="G325" s="2427"/>
      <c r="H325" s="1500"/>
      <c r="I325" s="651" t="s">
        <v>1152</v>
      </c>
      <c r="J325" s="571"/>
      <c r="K325" s="1500"/>
      <c r="L325" s="214"/>
      <c r="M325" s="341"/>
      <c r="N325" s="334"/>
      <c r="O325" s="1624"/>
      <c r="P325" s="1624"/>
      <c r="AH325" s="1631">
        <v>0</v>
      </c>
    </row>
    <row s="1635" customFormat="1" customHeight="1" ht="0.75" hidden="1">
      <c r="A326" s="1780"/>
      <c r="B326" s="1780"/>
      <c r="C326" s="369" t="s">
        <v>1160</v>
      </c>
      <c r="D326" s="2462"/>
      <c r="E326" s="2204"/>
      <c r="F326" s="2383"/>
      <c r="G326" s="400"/>
      <c r="H326" s="1500"/>
      <c r="I326" s="651"/>
      <c r="J326" s="571"/>
      <c r="K326" s="1500"/>
      <c r="L326" s="214"/>
      <c r="M326" s="341"/>
      <c r="N326" s="334"/>
      <c r="O326" s="1624"/>
      <c r="P326" s="1624"/>
      <c r="AH326" s="1631">
        <v>0</v>
      </c>
    </row>
    <row s="1635" customFormat="1" customHeight="1" ht="18.75" hidden="1">
      <c r="A327" s="1780" t="s">
        <v>283</v>
      </c>
      <c r="B327" s="1780" t="s">
        <v>284</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314</v>
      </c>
      <c r="M327" s="341"/>
      <c r="N327" s="334"/>
      <c r="O327" s="1624"/>
      <c r="P327" s="1624"/>
      <c r="AH327" s="1631">
        <v>0</v>
      </c>
    </row>
    <row s="1635" customFormat="1" customHeight="1" ht="18.75" hidden="1">
      <c r="A328" s="1780"/>
      <c r="B328" s="1780"/>
      <c r="C328" s="369" t="s">
        <v>1153</v>
      </c>
      <c r="D328" s="2462"/>
      <c r="E328" s="2204"/>
      <c r="F328" s="2383"/>
      <c r="G328" s="2427"/>
      <c r="H328" s="1500"/>
      <c r="I328" s="651" t="s">
        <v>1152</v>
      </c>
      <c r="J328" s="571"/>
      <c r="K328" s="1500"/>
      <c r="L328" s="214"/>
      <c r="M328" s="341"/>
      <c r="N328" s="334"/>
      <c r="O328" s="1624"/>
      <c r="P328" s="1624"/>
      <c r="AH328" s="1631">
        <v>0</v>
      </c>
    </row>
    <row s="1635" customFormat="1" customHeight="1" ht="1.05">
      <c r="A329" s="1780"/>
      <c r="B329" s="1780"/>
      <c r="C329" s="369" t="s">
        <v>1160</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86</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3DBB18-39EC-9378-A438-2F0461FA436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453</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5"/>
      <c r="F5" s="2455"/>
      <c r="G5" s="2456"/>
      <c r="H5" s="266"/>
      <c r="R5" s="374">
        <v>33</v>
      </c>
    </row>
    <row s="1635" customFormat="1" customHeight="1" ht="18">
      <c r="A6" s="1669"/>
      <c r="B6" s="1160"/>
      <c r="C6" s="376"/>
      <c r="D6" s="2457" t="str">
        <f>IF(org=0,"Не определено",org)</f>
        <v>ООО "Энерго-Сервис"</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308</v>
      </c>
      <c r="E8" s="2209"/>
      <c r="F8" s="2209"/>
      <c r="G8" s="2209"/>
      <c r="H8" s="2389" t="s">
        <v>309</v>
      </c>
      <c r="R8" s="374">
        <v>14</v>
      </c>
    </row>
    <row customHeight="1" ht="24">
      <c r="C9" s="376"/>
      <c r="D9" s="386" t="s">
        <v>92</v>
      </c>
      <c r="E9" s="108" t="s">
        <v>310</v>
      </c>
      <c r="F9" s="108" t="s">
        <v>311</v>
      </c>
      <c r="G9" s="108" t="s">
        <v>398</v>
      </c>
      <c r="H9" s="2389"/>
      <c r="R9" s="374">
        <v>23</v>
      </c>
    </row>
    <row customHeight="1" ht="14.699999999999998">
      <c r="A10" s="343"/>
      <c r="C10" s="376"/>
      <c r="D10" s="147" t="s">
        <v>113</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7"/>
      <c r="G10" s="213"/>
      <c r="H10" s="2169" t="s">
        <v>1161</v>
      </c>
      <c r="R10" s="374">
        <v>14</v>
      </c>
    </row>
    <row customHeight="1" ht="14.699999999999998">
      <c r="A11" s="343"/>
      <c r="C11" s="376"/>
      <c r="D11" s="147" t="s">
        <v>114</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7"/>
      <c r="G11" s="213"/>
      <c r="H11" s="2170"/>
      <c r="R11" s="374">
        <v>14</v>
      </c>
    </row>
    <row customHeight="1" ht="14.699999999999998">
      <c r="A12" s="102"/>
      <c r="C12" s="387"/>
      <c r="D12" s="147" t="s">
        <v>94</v>
      </c>
      <c r="E12" s="388" t="str">
        <f>"Сведения о планировании закупочных процедур"&amp;IF(TEMPLATE_SPHERE="TKO"," &lt;1&gt;","")</f>
        <v>Сведения о планировании закупочных процедур</v>
      </c>
      <c r="F12" s="257"/>
      <c r="G12" s="213"/>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0"/>
      <c r="K12" s="374"/>
      <c r="R12" s="374">
        <v>14</v>
      </c>
    </row>
    <row customHeight="1" ht="14.699999999999998">
      <c r="A13" s="102"/>
      <c r="C13" s="387"/>
      <c r="D13" s="147" t="s">
        <v>95</v>
      </c>
      <c r="E13" s="388" t="str">
        <f>"Сведения о результатах проведения закупочных процедур"&amp;IF(TEMPLATE_SPHERE="TKO"," &lt;1&gt;","")</f>
        <v>Сведения о результатах проведения закупочных процедур</v>
      </c>
      <c r="F13" s="257"/>
      <c r="G13" s="213"/>
      <c r="H13" s="2170"/>
      <c r="I13" s="350"/>
      <c r="K13" s="374"/>
      <c r="R13" s="374">
        <v>14</v>
      </c>
    </row>
    <row customHeight="1" ht="14.699999999999998">
      <c r="A14" s="343"/>
      <c r="C14" s="376"/>
      <c r="D14" s="347"/>
      <c r="E14" s="395" t="s">
        <v>330</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86</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4259E8-E838-B948-8CD8-45C348D6B39E}"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G18" sqref="G18:G22"/>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customWidth="1"/>
    <col min="21" max="21" style="1853" width="5.7109375" customWidth="1"/>
    <col min="22" max="22" style="1853" width="34.421875"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ООО "Энерго-Сервис"</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92</v>
      </c>
      <c r="E9" s="2101" t="s">
        <v>126</v>
      </c>
      <c r="F9" s="2103"/>
      <c r="G9" s="2127" t="s">
        <v>109</v>
      </c>
      <c r="H9" s="2127" t="s">
        <v>92</v>
      </c>
      <c r="I9" s="2127"/>
      <c r="J9" s="2127" t="s">
        <v>127</v>
      </c>
      <c r="K9" s="2155" t="s">
        <v>128</v>
      </c>
      <c r="L9" s="2155"/>
      <c r="M9" s="2155"/>
      <c r="N9" s="2155"/>
      <c r="O9" s="2155" t="s">
        <v>129</v>
      </c>
      <c r="P9" s="2155"/>
      <c r="Q9" s="2155"/>
      <c r="R9" s="2155"/>
      <c r="S9" s="2155" t="s">
        <v>130</v>
      </c>
      <c r="T9" s="2155"/>
      <c r="U9" s="2155"/>
      <c r="V9" s="2155"/>
      <c r="W9" s="2127" t="s">
        <v>131</v>
      </c>
      <c r="AR9" s="104">
        <v>27</v>
      </c>
    </row>
    <row customHeight="1" ht="31.5">
      <c r="D10" s="2127"/>
      <c r="E10" s="1284" t="s">
        <v>93</v>
      </c>
      <c r="F10" s="1284" t="s">
        <v>132</v>
      </c>
      <c r="G10" s="2127"/>
      <c r="H10" s="2127"/>
      <c r="I10" s="2127"/>
      <c r="J10" s="2127"/>
      <c r="K10" s="110" t="s">
        <v>112</v>
      </c>
      <c r="L10" s="2127" t="s">
        <v>92</v>
      </c>
      <c r="M10" s="2127"/>
      <c r="N10" s="110" t="s">
        <v>133</v>
      </c>
      <c r="O10" s="110" t="s">
        <v>112</v>
      </c>
      <c r="P10" s="2127" t="s">
        <v>92</v>
      </c>
      <c r="Q10" s="2127"/>
      <c r="R10" s="110" t="s">
        <v>133</v>
      </c>
      <c r="S10" s="283" t="s">
        <v>112</v>
      </c>
      <c r="T10" s="2127" t="s">
        <v>92</v>
      </c>
      <c r="U10" s="2127"/>
      <c r="V10" s="283" t="s">
        <v>93</v>
      </c>
      <c r="W10" s="2127"/>
      <c r="Z10" s="1259" t="s">
        <v>134</v>
      </c>
      <c r="AA10" s="1259" t="s">
        <v>135</v>
      </c>
      <c r="AB10" s="1259" t="s">
        <v>136</v>
      </c>
      <c r="AC10" s="1259" t="s">
        <v>137</v>
      </c>
      <c r="AD10" s="1259" t="s">
        <v>138</v>
      </c>
      <c r="AE10" s="1259" t="s">
        <v>139</v>
      </c>
      <c r="AF10" s="1259" t="s">
        <v>140</v>
      </c>
      <c r="AG10" s="1259" t="s">
        <v>141</v>
      </c>
      <c r="AH10" s="1259" t="s">
        <v>142</v>
      </c>
      <c r="AI10" s="1259" t="s">
        <v>143</v>
      </c>
      <c r="AJ10" s="1259" t="s">
        <v>144</v>
      </c>
      <c r="AK10" s="1259" t="s">
        <v>145</v>
      </c>
      <c r="AL10" s="1259" t="s">
        <v>146</v>
      </c>
      <c r="AM10" s="1259" t="s">
        <v>147</v>
      </c>
      <c r="AN10" s="1259" t="s">
        <v>148</v>
      </c>
      <c r="AO10" s="1259" t="s">
        <v>149</v>
      </c>
      <c r="AP10" s="1259" t="s">
        <v>150</v>
      </c>
      <c r="AQ10" s="1259" t="s">
        <v>151</v>
      </c>
      <c r="AR10" s="104">
        <v>30</v>
      </c>
    </row>
    <row s="1624" customFormat="1" customHeight="1" ht="12" hidden="1">
      <c r="D11" s="1249" t="s">
        <v>113</v>
      </c>
      <c r="E11" s="1249" t="s">
        <v>114</v>
      </c>
      <c r="F11" s="1249"/>
      <c r="G11" s="1249" t="s">
        <v>94</v>
      </c>
      <c r="H11" s="2156" t="s">
        <v>115</v>
      </c>
      <c r="I11" s="2156"/>
      <c r="J11" s="1249" t="s">
        <v>96</v>
      </c>
      <c r="K11" s="1249" t="s">
        <v>97</v>
      </c>
      <c r="L11" s="2156" t="s">
        <v>116</v>
      </c>
      <c r="M11" s="2156"/>
      <c r="N11" s="1249" t="s">
        <v>152</v>
      </c>
      <c r="O11" s="1249" t="s">
        <v>153</v>
      </c>
      <c r="P11" s="2156" t="s">
        <v>154</v>
      </c>
      <c r="Q11" s="2156"/>
      <c r="R11" s="1249" t="s">
        <v>155</v>
      </c>
      <c r="S11" s="1249" t="s">
        <v>154</v>
      </c>
      <c r="T11" s="2156" t="s">
        <v>155</v>
      </c>
      <c r="U11" s="2156"/>
      <c r="V11" s="1249" t="s">
        <v>156</v>
      </c>
      <c r="W11" s="1249" t="s">
        <v>157</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c r="A13" s="321"/>
      <c r="C13" s="209"/>
      <c r="D13" s="2135">
        <v>1</v>
      </c>
      <c r="E13" s="2143" t="s">
        <v>158</v>
      </c>
      <c r="F13" s="2145" t="s">
        <v>19</v>
      </c>
      <c r="G13" s="2633" t="s">
        <v>28</v>
      </c>
      <c r="H13" s="2554"/>
      <c r="I13" s="2567"/>
      <c r="J13" s="2152"/>
      <c r="K13" s="2137"/>
      <c r="L13" s="2137"/>
      <c r="M13" s="2137"/>
      <c r="N13" s="2565"/>
      <c r="O13" s="2137"/>
      <c r="P13" s="2137"/>
      <c r="Q13" s="2137"/>
      <c r="R13" s="2563"/>
      <c r="S13" s="2137"/>
      <c r="T13" s="2137"/>
      <c r="U13" s="2137"/>
      <c r="V13" s="2563"/>
      <c r="W13" s="1296"/>
      <c r="Y13" s="1267"/>
      <c r="Z13" s="1267"/>
      <c r="AA13" s="1267"/>
      <c r="AB13" s="1267"/>
      <c r="AC13" s="1267" t="s">
        <v>159</v>
      </c>
      <c r="AD13" s="1267" t="s">
        <v>160</v>
      </c>
      <c r="AE13" s="1267" t="s">
        <v>161</v>
      </c>
      <c r="AF13" s="1267" t="s">
        <v>162</v>
      </c>
      <c r="AG13" s="1267" t="s">
        <v>163</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c r="A14" s="321"/>
      <c r="C14" s="320"/>
      <c r="D14" s="2135"/>
      <c r="E14" s="2143"/>
      <c r="F14" s="2146"/>
      <c r="G14" s="2633" t="s">
        <v>28</v>
      </c>
      <c r="H14" s="2555"/>
      <c r="I14" s="2568"/>
      <c r="J14" s="2153"/>
      <c r="K14" s="2138"/>
      <c r="L14" s="2138"/>
      <c r="M14" s="2138"/>
      <c r="N14" s="2566"/>
      <c r="O14" s="2138"/>
      <c r="P14" s="2138"/>
      <c r="Q14" s="2138"/>
      <c r="R14" s="2564"/>
      <c r="S14" s="2138"/>
      <c r="T14" s="2177"/>
      <c r="U14" s="2177"/>
      <c r="V14" s="2177"/>
      <c r="W14" s="217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c r="A15" s="321"/>
      <c r="C15" s="209"/>
      <c r="D15" s="2135"/>
      <c r="E15" s="2143"/>
      <c r="F15" s="2146"/>
      <c r="G15" s="2633" t="s">
        <v>28</v>
      </c>
      <c r="H15" s="2555"/>
      <c r="I15" s="2568"/>
      <c r="J15" s="2556"/>
      <c r="K15" s="2138"/>
      <c r="L15" s="2138"/>
      <c r="M15" s="2138"/>
      <c r="N15" s="2564"/>
      <c r="O15" s="2138"/>
      <c r="P15" s="2138"/>
      <c r="Q15" s="2177"/>
      <c r="R15" s="2177"/>
      <c r="S15" s="1853"/>
      <c r="T15" s="1853"/>
      <c r="U15" s="1853"/>
      <c r="V15" s="1853"/>
      <c r="W15" s="217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c r="A16" s="321"/>
      <c r="C16" s="320"/>
      <c r="D16" s="2135"/>
      <c r="E16" s="2143"/>
      <c r="F16" s="2146"/>
      <c r="G16" s="2633" t="s">
        <v>28</v>
      </c>
      <c r="H16" s="2555"/>
      <c r="I16" s="2568"/>
      <c r="J16" s="2556"/>
      <c r="K16" s="2138"/>
      <c r="L16" s="2177"/>
      <c r="M16" s="2177"/>
      <c r="N16" s="2177"/>
      <c r="O16" s="2177"/>
      <c r="P16" s="2177"/>
      <c r="Q16" s="2177"/>
      <c r="R16" s="2177"/>
      <c r="S16" s="1853"/>
      <c r="T16" s="1853"/>
      <c r="U16" s="1853"/>
      <c r="V16" s="1853"/>
      <c r="W16" s="217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c r="A17" s="321"/>
      <c r="C17" s="320"/>
      <c r="D17" s="2136"/>
      <c r="E17" s="2144"/>
      <c r="F17" s="2147"/>
      <c r="G17" s="2634" t="s">
        <v>28</v>
      </c>
      <c r="H17" s="1299"/>
      <c r="I17" s="2187"/>
      <c r="J17" s="2187"/>
      <c r="K17" s="2187"/>
      <c r="L17" s="2187"/>
      <c r="M17" s="2187"/>
      <c r="N17" s="2187"/>
      <c r="O17" s="2187"/>
      <c r="P17" s="2187"/>
      <c r="Q17" s="2187"/>
      <c r="R17" s="2187"/>
      <c r="S17" s="1854"/>
      <c r="T17" s="1854"/>
      <c r="U17" s="1854"/>
      <c r="V17" s="1854"/>
      <c r="W17" s="2188"/>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c r="A18" s="321"/>
      <c r="C18" s="209"/>
      <c r="D18" s="2135">
        <v>2</v>
      </c>
      <c r="E18" s="2164" t="s">
        <v>164</v>
      </c>
      <c r="F18" s="2145" t="s">
        <v>70</v>
      </c>
      <c r="G18" s="2635" t="str">
        <f>INDEX(VD_NAME_LIST,MATCH("4190064",VD_ID_LIST,0))</f>
        <v>Производство тепловой энергии. Некомбинированная выработка</v>
      </c>
      <c r="H18" s="2553"/>
      <c r="I18" s="2553">
        <v>1</v>
      </c>
      <c r="J18" s="2501" t="s">
        <v>165</v>
      </c>
      <c r="K18" s="2185" t="s">
        <v>70</v>
      </c>
      <c r="L18" s="2108"/>
      <c r="M18" s="2108" t="s">
        <v>113</v>
      </c>
      <c r="N18" s="2504" t="str">
        <f>IF(Z18="","",INDEX(TERRITORY_MR_LIST,MATCH(Z18,TERRITORY_LIST_ID,0)))</f>
        <v>Территория 1</v>
      </c>
      <c r="O18" s="2185" t="s">
        <v>19</v>
      </c>
      <c r="P18" s="2108"/>
      <c r="Q18" s="2108" t="s">
        <v>113</v>
      </c>
      <c r="R18" s="2636" t="s">
        <v>28</v>
      </c>
      <c r="S18" s="2107" t="s">
        <v>19</v>
      </c>
      <c r="T18" s="2108"/>
      <c r="U18" s="2108" t="s">
        <v>113</v>
      </c>
      <c r="V18" s="2636" t="s">
        <v>28</v>
      </c>
      <c r="W18" s="2501"/>
      <c r="X18" s="1267"/>
      <c r="Y18" s="1267"/>
      <c r="Z18" s="1267" t="s">
        <v>102</v>
      </c>
      <c r="AA18" s="1267"/>
      <c r="AB18" s="1267" t="s">
        <v>166</v>
      </c>
      <c r="AC18" s="1267" t="s">
        <v>167</v>
      </c>
      <c r="AD18" s="1267" t="s">
        <v>168</v>
      </c>
      <c r="AE18" s="1267" t="s">
        <v>169</v>
      </c>
      <c r="AF18" s="1267" t="s">
        <v>170</v>
      </c>
      <c r="AG18" s="1267" t="s">
        <v>171</v>
      </c>
      <c r="AH18" s="1267"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7" t="str">
        <f>IF($G$18=0,"",$G$18)</f>
        <v>Производство тепловой энергии. Некомбинированная выработка</v>
      </c>
      <c r="AJ18" s="1267" t="str">
        <f>IF($J$18=0,"",$J$18)</f>
        <v>одноставочный, руб/Гкал</v>
      </c>
      <c r="AK18" s="1267" t="str">
        <f>IF($K$18="нет","без дифференциации",IF($N$18=0,"",$N$18))</f>
        <v>Территория 1</v>
      </c>
      <c r="AL18" s="1267" t="str">
        <f>IF($O$18="нет","без дифференциации",IF($R$18=0,"",$R$18))</f>
        <v>без дифференциации</v>
      </c>
      <c r="AM18" s="1267" t="str">
        <f>IF($S$18="нет","без дифференциации",IF($V$18=0,"",$V$18))</f>
        <v>без дифференциации</v>
      </c>
      <c r="AN18" s="1772">
        <f>$I$18</f>
        <v>1</v>
      </c>
      <c r="AO18" s="1267" t="str">
        <f>$I$18&amp;"."&amp;$M$18</f>
        <v>1.1</v>
      </c>
      <c r="AP18" s="1259" t="str">
        <f>$I$18&amp;"."&amp;$M$18&amp;"."&amp;$Q$18</f>
        <v>1.1.1</v>
      </c>
      <c r="AQ18" s="1259" t="str">
        <f>$I$18&amp;"."&amp;$M$18&amp;"."&amp;$Q$18&amp;"."&amp;$U$18</f>
        <v>1.1.1.1</v>
      </c>
      <c r="AR18" s="1283">
        <v>0</v>
      </c>
    </row>
    <row s="1853" customFormat="1" customHeight="1" ht="17.25">
      <c r="A19" s="321"/>
      <c r="C19" s="320"/>
      <c r="D19" s="2135"/>
      <c r="E19" s="2164"/>
      <c r="F19" s="2146"/>
      <c r="G19" s="2635" t="s">
        <v>28</v>
      </c>
      <c r="H19" s="2553"/>
      <c r="I19" s="2553"/>
      <c r="J19" s="2501"/>
      <c r="K19" s="2186"/>
      <c r="L19" s="2108"/>
      <c r="M19" s="2108"/>
      <c r="N19" s="2504"/>
      <c r="O19" s="2186"/>
      <c r="P19" s="2108"/>
      <c r="Q19" s="2108"/>
      <c r="R19" s="2636" t="s">
        <v>28</v>
      </c>
      <c r="S19" s="2107"/>
      <c r="T19" s="2637"/>
      <c r="U19" s="2638"/>
      <c r="V19" s="2639" t="s">
        <v>172</v>
      </c>
      <c r="W19" s="2640"/>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c r="A20" s="321"/>
      <c r="C20" s="320"/>
      <c r="D20" s="2136"/>
      <c r="E20" s="2165"/>
      <c r="F20" s="2146"/>
      <c r="G20" s="2641" t="s">
        <v>28</v>
      </c>
      <c r="H20" s="2503"/>
      <c r="I20" s="2503"/>
      <c r="J20" s="2533"/>
      <c r="K20" s="2186"/>
      <c r="L20" s="2503"/>
      <c r="M20" s="2503"/>
      <c r="N20" s="2505"/>
      <c r="O20" s="2112"/>
      <c r="P20" s="2642"/>
      <c r="Q20" s="2643"/>
      <c r="R20" s="2644" t="s">
        <v>173</v>
      </c>
      <c r="S20" s="2645"/>
      <c r="T20" s="2646"/>
      <c r="U20" s="2647"/>
      <c r="V20" s="2648"/>
      <c r="W20" s="2649"/>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c r="A21" s="321"/>
      <c r="C21" s="320"/>
      <c r="D21" s="2136"/>
      <c r="E21" s="2165"/>
      <c r="F21" s="2146"/>
      <c r="G21" s="2641" t="s">
        <v>28</v>
      </c>
      <c r="H21" s="2503"/>
      <c r="I21" s="2503"/>
      <c r="J21" s="2533"/>
      <c r="K21" s="2112"/>
      <c r="L21" s="2650"/>
      <c r="M21" s="2651"/>
      <c r="N21" s="2652" t="s">
        <v>174</v>
      </c>
      <c r="O21" s="2653"/>
      <c r="P21" s="2654"/>
      <c r="Q21" s="2655"/>
      <c r="R21" s="2656"/>
      <c r="S21" s="2657"/>
      <c r="T21" s="2658"/>
      <c r="U21" s="2659"/>
      <c r="V21" s="2660"/>
      <c r="W21" s="2661"/>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c r="A22" s="321"/>
      <c r="C22" s="320"/>
      <c r="D22" s="2136"/>
      <c r="E22" s="2165"/>
      <c r="F22" s="2147"/>
      <c r="G22" s="2641" t="s">
        <v>28</v>
      </c>
      <c r="H22" s="2662"/>
      <c r="I22" s="2663"/>
      <c r="J22" s="2664" t="s">
        <v>175</v>
      </c>
      <c r="K22" s="2665"/>
      <c r="L22" s="2666"/>
      <c r="M22" s="2667"/>
      <c r="N22" s="2668"/>
      <c r="O22" s="2669"/>
      <c r="P22" s="2670"/>
      <c r="Q22" s="2671"/>
      <c r="R22" s="2672"/>
      <c r="S22" s="2673"/>
      <c r="T22" s="2674"/>
      <c r="U22" s="2675"/>
      <c r="V22" s="2676"/>
      <c r="W22" s="2677"/>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164</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t="s">
        <v>28</v>
      </c>
      <c r="AA23" s="1267" t="s">
        <v>28</v>
      </c>
      <c r="AB23" s="1267" t="s">
        <v>28</v>
      </c>
      <c r="AC23" s="1267" t="s">
        <v>28</v>
      </c>
      <c r="AD23" s="1267" t="s">
        <v>28</v>
      </c>
      <c r="AE23" s="1267" t="s">
        <v>28</v>
      </c>
      <c r="AF23" s="1267" t="s">
        <v>28</v>
      </c>
      <c r="AG23" s="1267" t="s">
        <v>28</v>
      </c>
      <c r="AH23" s="1267" t="s">
        <v>28</v>
      </c>
      <c r="AI23" s="1267" t="s">
        <v>28</v>
      </c>
      <c r="AJ23" s="1267" t="s">
        <v>28</v>
      </c>
      <c r="AK23" s="1267" t="s">
        <v>28</v>
      </c>
      <c r="AL23" s="1267" t="s">
        <v>28</v>
      </c>
      <c r="AM23" s="1267" t="s">
        <v>28</v>
      </c>
      <c r="AN23" s="1772" t="s">
        <v>28</v>
      </c>
      <c r="AO23" s="1267" t="s">
        <v>28</v>
      </c>
      <c r="AP23" s="1266" t="s">
        <v>28</v>
      </c>
      <c r="AQ23" s="1266" t="s">
        <v>28</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c r="A28" s="321"/>
      <c r="C28" s="209"/>
      <c r="D28" s="2135">
        <v>3</v>
      </c>
      <c r="E28" s="2143" t="s">
        <v>176</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177</v>
      </c>
      <c r="AD28" s="1267" t="s">
        <v>178</v>
      </c>
      <c r="AE28" s="1267" t="s">
        <v>179</v>
      </c>
      <c r="AF28" s="1267" t="s">
        <v>180</v>
      </c>
      <c r="AG28" s="1267" t="s">
        <v>181</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c r="A33" s="321"/>
      <c r="C33" s="209"/>
      <c r="D33" s="2135">
        <v>4</v>
      </c>
      <c r="E33" s="2143" t="s">
        <v>182</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183</v>
      </c>
      <c r="AD33" s="1267" t="s">
        <v>184</v>
      </c>
      <c r="AE33" s="1267" t="s">
        <v>185</v>
      </c>
      <c r="AF33" s="1267" t="s">
        <v>186</v>
      </c>
      <c r="AG33" s="1267" t="s">
        <v>187</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c r="A38" s="321"/>
      <c r="C38" s="209"/>
      <c r="D38" s="2135">
        <v>5</v>
      </c>
      <c r="E38" s="2143" t="s">
        <v>188</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189</v>
      </c>
      <c r="AD38" s="1267" t="s">
        <v>190</v>
      </c>
      <c r="AE38" s="1267" t="s">
        <v>191</v>
      </c>
      <c r="AF38" s="1267" t="s">
        <v>192</v>
      </c>
      <c r="AG38" s="1267" t="s">
        <v>193</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c r="A43" s="321"/>
      <c r="C43" s="209"/>
      <c r="D43" s="2135">
        <v>6</v>
      </c>
      <c r="E43" s="2143" t="s">
        <v>194</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195</v>
      </c>
      <c r="AD43" s="1267" t="s">
        <v>196</v>
      </c>
      <c r="AE43" s="1267" t="s">
        <v>197</v>
      </c>
      <c r="AF43" s="1267" t="s">
        <v>198</v>
      </c>
      <c r="AG43" s="1267" t="s">
        <v>199</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c r="A48" s="321"/>
      <c r="C48" s="209"/>
      <c r="D48" s="2166">
        <v>7</v>
      </c>
      <c r="E48" s="2169" t="s">
        <v>200</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201</v>
      </c>
      <c r="AD48" s="1267" t="s">
        <v>202</v>
      </c>
      <c r="AE48" s="1267" t="s">
        <v>203</v>
      </c>
      <c r="AF48" s="1267" t="s">
        <v>204</v>
      </c>
      <c r="AG48" s="1267" t="s">
        <v>205</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c r="A53" s="321"/>
      <c r="C53" s="209"/>
      <c r="D53" s="2135">
        <v>8</v>
      </c>
      <c r="E53" s="2143" t="s">
        <v>206</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207</v>
      </c>
      <c r="AD53" s="1267" t="s">
        <v>208</v>
      </c>
      <c r="AE53" s="1267" t="s">
        <v>209</v>
      </c>
      <c r="AF53" s="1267" t="s">
        <v>210</v>
      </c>
      <c r="AG53" s="1267" t="s">
        <v>211</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c r="A58" s="321"/>
      <c r="C58" s="209"/>
      <c r="D58" s="2135">
        <v>9</v>
      </c>
      <c r="E58" s="2143" t="s">
        <v>212</v>
      </c>
      <c r="F58" s="2145" t="s">
        <v>19</v>
      </c>
      <c r="G58" s="2143"/>
      <c r="H58" s="2148"/>
      <c r="I58" s="2150"/>
      <c r="J58" s="2152"/>
      <c r="K58" s="2137"/>
      <c r="L58" s="2137"/>
      <c r="M58" s="2137"/>
      <c r="N58" s="2139"/>
      <c r="O58" s="2137"/>
      <c r="P58" s="2137"/>
      <c r="Q58" s="2137"/>
      <c r="R58" s="2142"/>
      <c r="S58" s="2137"/>
      <c r="T58" s="1931"/>
      <c r="U58" s="1931"/>
      <c r="V58" s="1933"/>
      <c r="W58" s="1296"/>
      <c r="X58" s="1267"/>
      <c r="Y58" s="1267"/>
      <c r="Z58" s="1267"/>
      <c r="AA58" s="1267"/>
      <c r="AB58" s="1267"/>
      <c r="AC58" s="1267" t="s">
        <v>213</v>
      </c>
      <c r="AD58" s="1267" t="s">
        <v>214</v>
      </c>
      <c r="AE58" s="1267" t="s">
        <v>215</v>
      </c>
      <c r="AF58" s="1267" t="s">
        <v>216</v>
      </c>
      <c r="AG58" s="1267" t="s">
        <v>217</v>
      </c>
      <c r="AH58" s="1267" t="str">
        <f>IF($E$58=0,"",$E$58)</f>
        <v>Плата за подключение (технологическое присоединение) к системе теплоснабжения (индивидуальная)</v>
      </c>
      <c r="AI58" s="1267" t="str">
        <f>IF($G$58=0,"",$G$58)</f>
        <v/>
      </c>
      <c r="AJ58" s="1267" t="str">
        <f>IF($J$58=0,"",$J$58)</f>
        <v/>
      </c>
      <c r="AK58" s="1267" t="str">
        <f>IF($K$58="нет","без дифференциации",IF($N$58=0,"",$N$58))</f>
        <v/>
      </c>
      <c r="AL58" s="1267" t="str">
        <f>IF($O$58="нет","без дифференциации",IF($R$58=0,"",$R$58))</f>
        <v/>
      </c>
      <c r="AM58" s="1267" t="str">
        <f>IF($S$58="нет","без дифференциации",IF($V$58=0,"",$V$58))</f>
        <v/>
      </c>
      <c r="AN58" s="1772">
        <f>$I$58</f>
        <v>0</v>
      </c>
      <c r="AO58" s="1267" t="str">
        <f>$I$58&amp;"."&amp;$M$58</f>
        <v>.</v>
      </c>
      <c r="AP58" s="1266" t="str">
        <f>$I$58&amp;"."&amp;$M$58&amp;"."&amp;$Q$58</f>
        <v>..</v>
      </c>
      <c r="AQ58" s="1266" t="str">
        <f>$I$58&amp;"."&amp;$M$58&amp;"."&amp;$Q$58&amp;"."&amp;$U$58</f>
        <v>...</v>
      </c>
      <c r="AR58" s="1467">
        <v>0</v>
      </c>
    </row>
    <row s="1853" customFormat="1" customHeight="1" ht="17.25">
      <c r="A59" s="321"/>
      <c r="C59" s="320"/>
      <c r="D59" s="2135"/>
      <c r="E59" s="2143"/>
      <c r="F59" s="2146"/>
      <c r="G59" s="2143"/>
      <c r="H59" s="2149"/>
      <c r="I59" s="2151"/>
      <c r="J59" s="2153"/>
      <c r="K59" s="2138"/>
      <c r="L59" s="2138"/>
      <c r="M59" s="2138"/>
      <c r="N59" s="2140"/>
      <c r="O59" s="2138"/>
      <c r="P59" s="2138"/>
      <c r="Q59" s="2138"/>
      <c r="R59" s="2141"/>
      <c r="S59" s="2138"/>
      <c r="T59" s="1934"/>
      <c r="U59" s="1934"/>
      <c r="V59" s="1934"/>
      <c r="W59" s="1935"/>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c r="A60" s="321"/>
      <c r="C60" s="320"/>
      <c r="D60" s="2136"/>
      <c r="E60" s="2144"/>
      <c r="F60" s="2146"/>
      <c r="G60" s="2144"/>
      <c r="H60" s="2149"/>
      <c r="I60" s="2151"/>
      <c r="J60" s="2154"/>
      <c r="K60" s="2138"/>
      <c r="L60" s="2138"/>
      <c r="M60" s="2138"/>
      <c r="N60" s="2141"/>
      <c r="O60" s="2138"/>
      <c r="P60" s="1932"/>
      <c r="Q60" s="1934"/>
      <c r="R60" s="1934"/>
      <c r="S60" s="329"/>
      <c r="T60" s="329"/>
      <c r="U60" s="329"/>
      <c r="V60" s="329"/>
      <c r="W60" s="1935"/>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c r="A61" s="321"/>
      <c r="C61" s="209"/>
      <c r="D61" s="2136"/>
      <c r="E61" s="2144"/>
      <c r="F61" s="2146"/>
      <c r="G61" s="2144"/>
      <c r="H61" s="2149"/>
      <c r="I61" s="2151"/>
      <c r="J61" s="2154"/>
      <c r="K61" s="2138"/>
      <c r="L61" s="1934"/>
      <c r="M61" s="1934"/>
      <c r="N61" s="1934"/>
      <c r="O61" s="1934"/>
      <c r="P61" s="1934"/>
      <c r="Q61" s="1934"/>
      <c r="R61" s="1934"/>
      <c r="S61" s="329"/>
      <c r="T61" s="329"/>
      <c r="U61" s="329"/>
      <c r="V61" s="329"/>
      <c r="W61" s="193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c r="A62" s="321"/>
      <c r="C62" s="320"/>
      <c r="D62" s="2136"/>
      <c r="E62" s="2144"/>
      <c r="F62" s="2147"/>
      <c r="G62" s="2144"/>
      <c r="H62" s="1299"/>
      <c r="I62" s="1936"/>
      <c r="J62" s="1936"/>
      <c r="K62" s="1936"/>
      <c r="L62" s="1936"/>
      <c r="M62" s="1936"/>
      <c r="N62" s="1936"/>
      <c r="O62" s="1936"/>
      <c r="P62" s="1936"/>
      <c r="Q62" s="1936"/>
      <c r="R62" s="1936"/>
      <c r="S62" s="1301"/>
      <c r="T62" s="1301"/>
      <c r="U62" s="1301"/>
      <c r="V62" s="1301"/>
      <c r="W62" s="1937"/>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218</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219</v>
      </c>
      <c r="AD63" s="1267" t="s">
        <v>220</v>
      </c>
      <c r="AE63" s="1267" t="s">
        <v>221</v>
      </c>
      <c r="AF63" s="1267" t="s">
        <v>222</v>
      </c>
      <c r="AG63" s="1267" t="s">
        <v>223</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c r="AR68" s="104">
        <v>0</v>
      </c>
    </row>
    <row customHeight="1" ht="11.25">
      <c r="E69" s="2174" t="s">
        <v>224</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c r="E70" s="2172" t="s">
        <v>225</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c r="E71" s="2172" t="s">
        <v>226</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c r="E72" s="2172" t="s">
        <v>227</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c r="E73" s="2172" t="s">
        <v>228</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c r="E74" s="340"/>
      <c r="F74" s="1285"/>
      <c r="G74" s="157"/>
      <c r="H74" s="157"/>
      <c r="I74" s="157"/>
      <c r="J74" s="157"/>
      <c r="K74" s="157"/>
      <c r="L74" s="157"/>
      <c r="M74" s="157"/>
      <c r="N74" s="157"/>
      <c r="O74" s="157"/>
      <c r="P74" s="157"/>
      <c r="Q74" s="157"/>
      <c r="R74" s="157"/>
      <c r="S74" s="157"/>
      <c r="T74" s="157"/>
      <c r="U74" s="157"/>
      <c r="V74" s="157"/>
      <c r="W74" s="157"/>
      <c r="AR74" s="104">
        <v>0</v>
      </c>
    </row>
    <row customHeight="1" ht="15">
      <c r="E75" s="2174" t="s">
        <v>229</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c r="E76" s="2172" t="s">
        <v>230</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c r="E77" s="2172" t="s">
        <v>231</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hidden="1">
      <c r="A79" s="321"/>
      <c r="C79" s="209"/>
      <c r="D79" s="2135">
        <v>1</v>
      </c>
      <c r="E79" s="2143" t="s">
        <v>232</v>
      </c>
      <c r="F79" s="2145" t="s">
        <v>19</v>
      </c>
      <c r="G79" s="2143"/>
      <c r="H79" s="2148"/>
      <c r="I79" s="2150"/>
      <c r="J79" s="2152"/>
      <c r="K79" s="2137"/>
      <c r="L79" s="2137"/>
      <c r="M79" s="2137"/>
      <c r="N79" s="2139"/>
      <c r="O79" s="2137"/>
      <c r="P79" s="2137"/>
      <c r="Q79" s="2137"/>
      <c r="R79" s="2142"/>
      <c r="S79" s="2137"/>
      <c r="T79" s="1470"/>
      <c r="U79" s="1470"/>
      <c r="V79" s="1472"/>
      <c r="W79" s="1296"/>
      <c r="Y79" s="1267"/>
      <c r="Z79" s="1267"/>
      <c r="AA79" s="1267"/>
      <c r="AB79" s="1267"/>
      <c r="AC79" s="1267" t="s">
        <v>233</v>
      </c>
      <c r="AD79" s="1267" t="s">
        <v>234</v>
      </c>
      <c r="AE79" s="1267" t="s">
        <v>235</v>
      </c>
      <c r="AF79" s="1267" t="s">
        <v>236</v>
      </c>
      <c r="AG79" s="1267"/>
      <c r="AH79" s="1267" t="str">
        <f>IF($E$79=0,"",$E$79)</f>
        <v>Тариф на питьевую воду (питьевое водоснабжение)</v>
      </c>
      <c r="AI79" s="1267" t="str">
        <f>IF($G$79=0,"",$G$79)</f>
        <v/>
      </c>
      <c r="AJ79" s="1267" t="str">
        <f>IF($J$79=0,"",$J$79)</f>
        <v/>
      </c>
      <c r="AK79" s="1267" t="str">
        <f>IF($K$79="нет","без дифференциации",IF($N$79=0,"",$N$79))</f>
        <v/>
      </c>
      <c r="AL79" s="1267" t="str">
        <f>IF($O$79="нет","без дифференциации",IF($R$79=0,"",$R$79))</f>
        <v/>
      </c>
      <c r="AM79" s="1267" t="str">
        <f>IF($S$79="нет","без дифференциации",IF($V$79=0,"",$V$79))</f>
        <v/>
      </c>
      <c r="AN79" s="1267">
        <f>$I$79</f>
        <v>0</v>
      </c>
      <c r="AO79" s="1267" t="str">
        <f>$I$79&amp;"."&amp;$M$79</f>
        <v>.</v>
      </c>
      <c r="AP79" s="1267" t="str">
        <f>$I$79&amp;"."&amp;$M$79&amp;"."&amp;$Q$79</f>
        <v>..</v>
      </c>
      <c r="AQ79" s="1267" t="str">
        <f>$I$79&amp;"."&amp;$M$79&amp;"."&amp;$Q$79&amp;"."&amp;$U$79</f>
        <v>...</v>
      </c>
      <c r="AR79" s="1350">
        <v>0</v>
      </c>
    </row>
    <row s="1853" customFormat="1" customHeight="1" ht="17.25" hidden="1">
      <c r="A80" s="321"/>
      <c r="C80" s="320"/>
      <c r="D80" s="2135"/>
      <c r="E80" s="2143"/>
      <c r="F80" s="2146"/>
      <c r="G80" s="2143"/>
      <c r="H80" s="2149"/>
      <c r="I80" s="2151"/>
      <c r="J80" s="2153"/>
      <c r="K80" s="2138"/>
      <c r="L80" s="2138"/>
      <c r="M80" s="2138"/>
      <c r="N80" s="2140"/>
      <c r="O80" s="2138"/>
      <c r="P80" s="2138"/>
      <c r="Q80" s="2138"/>
      <c r="R80" s="2141"/>
      <c r="S80" s="2138"/>
      <c r="T80" s="1297"/>
      <c r="U80" s="1297"/>
      <c r="V80" s="1297"/>
      <c r="W80" s="1298"/>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hidden="1">
      <c r="A81" s="321"/>
      <c r="C81" s="209"/>
      <c r="D81" s="2135"/>
      <c r="E81" s="2143"/>
      <c r="F81" s="2146"/>
      <c r="G81" s="2143"/>
      <c r="H81" s="2149"/>
      <c r="I81" s="2151"/>
      <c r="J81" s="2154"/>
      <c r="K81" s="2138"/>
      <c r="L81" s="2138"/>
      <c r="M81" s="2138"/>
      <c r="N81" s="2141"/>
      <c r="O81" s="2138"/>
      <c r="P81" s="1471"/>
      <c r="Q81" s="1297"/>
      <c r="R81" s="1297"/>
      <c r="S81" s="329"/>
      <c r="T81" s="329"/>
      <c r="U81" s="329"/>
      <c r="V81" s="329"/>
      <c r="W81" s="1298"/>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hidden="1">
      <c r="A82" s="321"/>
      <c r="C82" s="320"/>
      <c r="D82" s="2135"/>
      <c r="E82" s="2143"/>
      <c r="F82" s="2146"/>
      <c r="G82" s="2143"/>
      <c r="H82" s="2149"/>
      <c r="I82" s="2151"/>
      <c r="J82" s="2154"/>
      <c r="K82" s="2138"/>
      <c r="L82" s="1297"/>
      <c r="M82" s="1297"/>
      <c r="N82" s="1297"/>
      <c r="O82" s="1297"/>
      <c r="P82" s="1297"/>
      <c r="Q82" s="1297"/>
      <c r="R82" s="1297"/>
      <c r="S82" s="329"/>
      <c r="T82" s="329"/>
      <c r="U82" s="329"/>
      <c r="V82" s="329"/>
      <c r="W82" s="1298"/>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hidden="1">
      <c r="A83" s="321"/>
      <c r="C83" s="320"/>
      <c r="D83" s="2136"/>
      <c r="E83" s="2144"/>
      <c r="F83" s="2147"/>
      <c r="G83" s="2144"/>
      <c r="H83" s="1299"/>
      <c r="I83" s="1300"/>
      <c r="J83" s="1300"/>
      <c r="K83" s="1300"/>
      <c r="L83" s="1300"/>
      <c r="M83" s="1300"/>
      <c r="N83" s="1300"/>
      <c r="O83" s="1300"/>
      <c r="P83" s="1300"/>
      <c r="Q83" s="1300"/>
      <c r="R83" s="1300"/>
      <c r="S83" s="1301"/>
      <c r="T83" s="1301"/>
      <c r="U83" s="1301"/>
      <c r="V83" s="1301"/>
      <c r="W83" s="130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hidden="1">
      <c r="A84" s="321"/>
      <c r="C84" s="209"/>
      <c r="D84" s="2135">
        <v>2</v>
      </c>
      <c r="E84" s="2143" t="s">
        <v>237</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238</v>
      </c>
      <c r="AD84" s="1267" t="s">
        <v>239</v>
      </c>
      <c r="AE84" s="1267" t="s">
        <v>240</v>
      </c>
      <c r="AF84" s="1267" t="s">
        <v>241</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hidden="1">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hidden="1">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hidden="1">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hidden="1">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hidden="1">
      <c r="A89" s="321"/>
      <c r="C89" s="209"/>
      <c r="D89" s="2135">
        <v>3</v>
      </c>
      <c r="E89" s="2143" t="s">
        <v>242</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243</v>
      </c>
      <c r="AD89" s="1267" t="s">
        <v>244</v>
      </c>
      <c r="AE89" s="1267" t="s">
        <v>245</v>
      </c>
      <c r="AF89" s="1267" t="s">
        <v>246</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hidden="1">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hidden="1">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hidden="1">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hidden="1">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hidden="1">
      <c r="A94" s="321"/>
      <c r="C94" s="209"/>
      <c r="D94" s="2135">
        <v>4</v>
      </c>
      <c r="E94" s="2143" t="s">
        <v>247</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248</v>
      </c>
      <c r="AD94" s="1267" t="s">
        <v>249</v>
      </c>
      <c r="AE94" s="1267" t="s">
        <v>250</v>
      </c>
      <c r="AF94" s="1267" t="s">
        <v>251</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hidden="1">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hidden="1">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hidden="1">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hidden="1">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hidden="1">
      <c r="A99" s="321"/>
      <c r="C99" s="209"/>
      <c r="D99" s="2135">
        <v>5</v>
      </c>
      <c r="E99" s="2143" t="s">
        <v>252</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253</v>
      </c>
      <c r="AD99" s="1267" t="s">
        <v>254</v>
      </c>
      <c r="AE99" s="1267" t="s">
        <v>255</v>
      </c>
      <c r="AF99" s="1267" t="s">
        <v>256</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hidden="1">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hidden="1">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hidden="1">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hidden="1">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257</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258</v>
      </c>
      <c r="AD105" s="1267" t="s">
        <v>259</v>
      </c>
      <c r="AE105" s="1267" t="s">
        <v>260</v>
      </c>
      <c r="AF105" s="1267" t="s">
        <v>261</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262</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263</v>
      </c>
      <c r="AD110" s="1267" t="s">
        <v>264</v>
      </c>
      <c r="AE110" s="1267" t="s">
        <v>265</v>
      </c>
      <c r="AF110" s="1267" t="s">
        <v>266</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267</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268</v>
      </c>
      <c r="AD115" s="1267" t="s">
        <v>269</v>
      </c>
      <c r="AE115" s="1267" t="s">
        <v>270</v>
      </c>
      <c r="AF115" s="1267" t="s">
        <v>271</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hidden="1">
      <c r="A121" s="321"/>
      <c r="C121" s="209"/>
      <c r="D121" s="2135">
        <v>1</v>
      </c>
      <c r="E121" s="2143" t="s">
        <v>272</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273</v>
      </c>
      <c r="AD121" s="1267" t="s">
        <v>274</v>
      </c>
      <c r="AE121" s="1267" t="s">
        <v>275</v>
      </c>
      <c r="AF121" s="1267" t="s">
        <v>276</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hidden="1">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hidden="1">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hidden="1">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hidden="1">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hidden="1">
      <c r="A126" s="321"/>
      <c r="C126" s="209"/>
      <c r="D126" s="2135">
        <v>2</v>
      </c>
      <c r="E126" s="2143" t="s">
        <v>277</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278</v>
      </c>
      <c r="AD126" s="1267" t="s">
        <v>279</v>
      </c>
      <c r="AE126" s="1267" t="s">
        <v>280</v>
      </c>
      <c r="AF126" s="1267" t="s">
        <v>281</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hidden="1">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hidden="1">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hidden="1">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hidden="1">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hidden="1">
      <c r="A131" s="321"/>
      <c r="C131" s="209"/>
      <c r="D131" s="2135">
        <v>3</v>
      </c>
      <c r="E131" s="2143" t="s">
        <v>282</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283</v>
      </c>
      <c r="AD131" s="1267" t="s">
        <v>284</v>
      </c>
      <c r="AE131" s="1267" t="s">
        <v>285</v>
      </c>
      <c r="AF131" s="1267" t="s">
        <v>286</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hidden="1">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hidden="1">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hidden="1">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hidden="1">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86</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M28:M30"/>
    <mergeCell ref="R28:R29"/>
    <mergeCell ref="O28:O30"/>
    <mergeCell ref="D28:D32"/>
    <mergeCell ref="E28:E32"/>
    <mergeCell ref="F28:F32"/>
    <mergeCell ref="H28:H31"/>
    <mergeCell ref="I28:I31"/>
    <mergeCell ref="J28:J31"/>
    <mergeCell ref="G28:G32"/>
    <mergeCell ref="D23:D27"/>
    <mergeCell ref="E23:E27"/>
    <mergeCell ref="F23:F27"/>
    <mergeCell ref="L10:M10"/>
    <mergeCell ref="P10:Q10"/>
    <mergeCell ref="L11:M11"/>
    <mergeCell ref="P11:Q11"/>
    <mergeCell ref="K28:K31"/>
    <mergeCell ref="L28:L30"/>
    <mergeCell ref="P28:P29"/>
    <mergeCell ref="Q28:Q29"/>
    <mergeCell ref="P23:P24"/>
    <mergeCell ref="Q23:Q24"/>
    <mergeCell ref="D5:J5"/>
    <mergeCell ref="D9:D10"/>
    <mergeCell ref="D7:J7"/>
    <mergeCell ref="G9:G10"/>
    <mergeCell ref="H9:I10"/>
    <mergeCell ref="D6:J6"/>
    <mergeCell ref="D13:D17"/>
    <mergeCell ref="E13:E17"/>
    <mergeCell ref="G13:G17"/>
    <mergeCell ref="J9:J10"/>
    <mergeCell ref="H11:I11"/>
    <mergeCell ref="E9:F9"/>
    <mergeCell ref="F13:F17"/>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G18:G22"/>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N13:N15"/>
    <mergeCell ref="I13:I16"/>
    <mergeCell ref="L13:L15"/>
    <mergeCell ref="Q13:Q14"/>
    <mergeCell ref="R13:R14"/>
    <mergeCell ref="S13:S14"/>
    <mergeCell ref="P13:P14"/>
    <mergeCell ref="H13:H16"/>
    <mergeCell ref="J13:J16"/>
    <mergeCell ref="K13:K16"/>
    <mergeCell ref="M13:M15"/>
    <mergeCell ref="O13:O15"/>
    <mergeCell ref="O18:O20"/>
    <mergeCell ref="S18:S19"/>
    <mergeCell ref="P18:P19"/>
    <mergeCell ref="Q18:Q19"/>
    <mergeCell ref="R18:R19"/>
    <mergeCell ref="K18:K21"/>
    <mergeCell ref="M18:M20"/>
    <mergeCell ref="L18:L20"/>
    <mergeCell ref="N18:N20"/>
    <mergeCell ref="J18:J21"/>
    <mergeCell ref="H18:H21"/>
    <mergeCell ref="I18:I21"/>
  </mergeCells>
  <dataValidations count="33">
    <dataValidation allowBlank="1" showInputMessage="1" showErrorMessage="1" prompt="Для выбора выполните двойной щелчок левой клавиши мыши по соответствующей ячейке." sqref="K38:K39 K48:K49 O48:O49 S48:S49 K43:K44 K28:K29 O38:O39 O43:O44 O28:O29 S38:S39 S43:S44 S28:S29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48:J49 R48:R49 V48:W48 J43:J44 J28:J29 R38:R39 R43:R44 R28:R29 V38:W3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43:N45 N28:N30 N38:N40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13">
      <formula1>900</formula1>
    </dataValidation>
    <dataValidation allowBlank="1" showInputMessage="1" showErrorMessage="1" prompt="Для выбора выполните двойной щелчок левой клавиши мыши по соответствующей ячейке." sqref="K13"/>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3">
      <formula1>DESCRIPTION_TERRITORY</formula1>
    </dataValidation>
    <dataValidation allowBlank="1" showInputMessage="1" showErrorMessage="1" prompt="Для выбора выполните двойной щелчок левой клавиши мыши по соответствующей ячейке." sqref="O13"/>
    <dataValidation type="textLength" operator="lessThanOrEqual" allowBlank="1" showInputMessage="1" showErrorMessage="1" errorTitle="Ошибка" error="Допускается ввод не более 900 символов!" sqref="R13">
      <formula1>900</formula1>
    </dataValidation>
    <dataValidation allowBlank="1" showInputMessage="1" showErrorMessage="1" prompt="Для выбора выполните двойной щелчок левой клавиши мыши по соответствующей ячейке." sqref="S13"/>
    <dataValidation type="textLength" operator="lessThanOrEqual" allowBlank="1" showInputMessage="1" showErrorMessage="1" errorTitle="Ошибка" error="Допускается ввод не более 900 символов!" sqref="V13">
      <formula1>900</formula1>
    </dataValidation>
    <dataValidation type="textLength" operator="lessThanOrEqual" allowBlank="1" showInputMessage="1" showErrorMessage="1" errorTitle="Ошибка" error="Допускается ввод не более 900 символов!" sqref="W13">
      <formula1>900</formula1>
    </dataValidation>
    <dataValidation type="textLength" operator="lessThanOrEqual" allowBlank="1" showInputMessage="1" showErrorMessage="1" errorTitle="Ошибка" error="Допускается ввод не более 900 символов!" sqref="J14">
      <formula1>900</formula1>
    </dataValidation>
    <dataValidation allowBlank="1" showInputMessage="1" showErrorMessage="1" prompt="Для выбора выполните двойной щелчок левой клавиши мыши по соответствующей ячейке." sqref="K14"/>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
      <formula1>DESCRIPTION_TERRITORY</formula1>
    </dataValidation>
    <dataValidation allowBlank="1" showInputMessage="1" showErrorMessage="1" prompt="Для выбора выполните двойной щелчок левой клавиши мыши по соответствующей ячейке." sqref="O14"/>
    <dataValidation type="textLength" operator="lessThanOrEqual" allowBlank="1" showInputMessage="1" showErrorMessage="1" errorTitle="Ошибка" error="Допускается ввод не более 900 символов!" sqref="R14">
      <formula1>900</formula1>
    </dataValidation>
    <dataValidation allowBlank="1" showInputMessage="1" showErrorMessage="1" prompt="Для выбора выполните двойной щелчок левой клавиши мыши по соответствующей ячейке." sqref="S14"/>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
      <formula1>DESCRIPTION_TERRITORY</formula1>
    </dataValidation>
    <dataValidation type="textLength" operator="lessThanOrEqual" allowBlank="1" showInputMessage="1" showErrorMessage="1" errorTitle="Ошибка" error="Допускается ввод не более 900 символов!" sqref="J18">
      <formula1>900</formula1>
    </dataValidation>
    <dataValidation allowBlank="1" showInputMessage="1" showErrorMessage="1" prompt="Для выбора выполните двойной щелчок левой клавиши мыши по соответствующей ячейке." sqref="K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O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V18">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J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Для выбора выполните двойной щелчок левой клавиши мыши по соответствующей ячейке." sqref="S1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A89D29-2A83-E295-1771-E24B1EC3B07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1162</v>
      </c>
      <c r="E5" s="2237"/>
      <c r="F5" s="2237"/>
      <c r="G5" s="2237"/>
      <c r="H5" s="2237"/>
      <c r="I5" s="2237"/>
      <c r="J5" s="2237"/>
      <c r="V5" s="505">
        <v>63</v>
      </c>
    </row>
    <row customHeight="1" ht="15.75">
      <c r="C6" s="176"/>
      <c r="D6" s="2176" t="str">
        <f>IF(org=0,"Не определено",org)</f>
        <v>ООО "Энерго-Сервис"</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121</v>
      </c>
      <c r="J8" s="752"/>
      <c r="K8" s="417"/>
      <c r="U8" s="675"/>
      <c r="V8" s="758">
        <v>1</v>
      </c>
    </row>
    <row customHeight="1" ht="15.75">
      <c r="C9" s="176"/>
      <c r="D9" s="711"/>
      <c r="E9" s="2367" t="s">
        <v>109</v>
      </c>
      <c r="F9" s="2368"/>
      <c r="G9" s="2395" t="str">
        <f>IF(G8="","",INDEX(DIFFERENTIATION_UNMERGE_VD,MATCH(G8,DIFFERENTIATION_ID_DIFF,0)))</f>
        <v/>
      </c>
      <c r="H9" s="2396"/>
      <c r="I9" s="2395">
        <f>IF(I8="","",INDEX(DIFFERENTIATION_UNMERGE_VD,MATCH(I8,DIFFERENTIATION_ID_DIFF,0)))</f>
        <v>0</v>
      </c>
      <c r="J9" s="2396"/>
      <c r="K9" s="2175" t="s">
        <v>309</v>
      </c>
      <c r="V9" s="505">
        <v>15</v>
      </c>
    </row>
    <row s="1635" customFormat="1" customHeight="1" ht="15.75">
      <c r="A10" s="759"/>
      <c r="C10" s="176"/>
      <c r="D10" s="711"/>
      <c r="E10" s="2367" t="s">
        <v>572</v>
      </c>
      <c r="F10" s="2368"/>
      <c r="G10" s="2395" t="str">
        <f>IF(G8="","",INDEX(DIFFERENTIATION_UNMERGE_AREA,MATCH(G8,DIFFERENTIATION_ID_DIFF,0)))</f>
        <v/>
      </c>
      <c r="H10" s="2396"/>
      <c r="I10" s="2395" t="str">
        <f>IF(I8="","",INDEX(DIFFERENTIATION_UNMERGE_AREA,MATCH(I8,DIFFERENTIATION_ID_DIFF,0)))</f>
        <v/>
      </c>
      <c r="J10" s="2396"/>
      <c r="K10" s="2199"/>
      <c r="U10" s="675"/>
      <c r="V10" s="758">
        <v>15</v>
      </c>
    </row>
    <row s="1635" customFormat="1" customHeight="1" ht="15.75">
      <c r="A11" s="759"/>
      <c r="C11" s="176"/>
      <c r="D11" s="711"/>
      <c r="E11" s="2367" t="s">
        <v>573</v>
      </c>
      <c r="F11" s="2368"/>
      <c r="G11" s="2395" t="str">
        <f>IF(G8="","",INDEX(DIFFERENTIATION_UNMERGE_SYSTEM,MATCH(G8,DIFFERENTIATION_ID_DIFF,0)))</f>
        <v/>
      </c>
      <c r="H11" s="2396"/>
      <c r="I11" s="2395" t="str">
        <f>IF(I8="","",INDEX(DIFFERENTIATION_UNMERGE_SYSTEM,MATCH(I8,DIFFERENTIATION_ID_DIFF,0)))</f>
        <v>без дифференциации</v>
      </c>
      <c r="J11" s="2396"/>
      <c r="K11" s="2199"/>
      <c r="U11" s="675"/>
      <c r="V11" s="758">
        <v>15</v>
      </c>
    </row>
    <row s="1635" customFormat="1" customHeight="1" ht="15.75">
      <c r="A12" s="759"/>
      <c r="C12" s="176"/>
      <c r="D12" s="2369" t="s">
        <v>308</v>
      </c>
      <c r="E12" s="2370"/>
      <c r="F12" s="2370"/>
      <c r="G12" s="887"/>
      <c r="H12" s="887"/>
      <c r="I12" s="887"/>
      <c r="J12" s="887"/>
      <c r="K12" s="2199"/>
      <c r="U12" s="675"/>
      <c r="V12" s="758">
        <v>15</v>
      </c>
    </row>
    <row customHeight="1" ht="35.699999999999996">
      <c r="C13" s="176"/>
      <c r="D13" s="805" t="s">
        <v>92</v>
      </c>
      <c r="E13" s="807" t="s">
        <v>310</v>
      </c>
      <c r="F13" s="807" t="s">
        <v>574</v>
      </c>
      <c r="G13" s="808" t="s">
        <v>311</v>
      </c>
      <c r="H13" s="807" t="s">
        <v>398</v>
      </c>
      <c r="I13" s="808" t="s">
        <v>311</v>
      </c>
      <c r="J13" s="807" t="s">
        <v>398</v>
      </c>
      <c r="K13" s="2232"/>
      <c r="V13" s="505">
        <v>34</v>
      </c>
    </row>
    <row customHeight="1" ht="15" hidden="1">
      <c r="C14" s="176"/>
      <c r="D14" s="593" t="s">
        <v>113</v>
      </c>
      <c r="E14" s="593" t="s">
        <v>114</v>
      </c>
      <c r="F14" s="593" t="s">
        <v>94</v>
      </c>
      <c r="G14" s="659" t="str">
        <f>G1&amp;".1"</f>
        <v>4.1</v>
      </c>
      <c r="H14" s="659"/>
      <c r="I14" s="659" t="str">
        <f>I1&amp;".1"</f>
        <v>4.1</v>
      </c>
      <c r="J14" s="659"/>
      <c r="K14" s="289"/>
      <c r="V14" s="505">
        <v>0</v>
      </c>
    </row>
    <row customHeight="1" ht="22.5" hidden="1">
      <c r="A15" s="505"/>
      <c r="C15" s="526"/>
      <c r="D15" s="521">
        <v>1</v>
      </c>
      <c r="E15" s="677" t="s">
        <v>816</v>
      </c>
      <c r="F15" s="521" t="s">
        <v>817</v>
      </c>
      <c r="G15" s="678"/>
      <c r="H15" s="678"/>
      <c r="I15" s="678"/>
      <c r="J15" s="678"/>
      <c r="K15" s="289" t="s">
        <v>818</v>
      </c>
      <c r="V15" s="505">
        <v>0</v>
      </c>
    </row>
    <row customHeight="1" ht="22.5" hidden="1">
      <c r="A16" s="505"/>
      <c r="C16" s="526"/>
      <c r="D16" s="521">
        <v>2</v>
      </c>
      <c r="E16" s="279" t="s">
        <v>819</v>
      </c>
      <c r="F16" s="521" t="s">
        <v>820</v>
      </c>
      <c r="G16" s="678"/>
      <c r="H16" s="678"/>
      <c r="I16" s="678"/>
      <c r="J16" s="678"/>
      <c r="K16" s="289" t="s">
        <v>821</v>
      </c>
      <c r="V16" s="505">
        <v>0</v>
      </c>
    </row>
    <row customHeight="1" ht="123.75" hidden="1">
      <c r="A17" s="505"/>
      <c r="C17" s="526"/>
      <c r="D17" s="521">
        <v>3</v>
      </c>
      <c r="E17" s="279" t="s">
        <v>1163</v>
      </c>
      <c r="F17" s="521" t="s">
        <v>314</v>
      </c>
      <c r="G17" s="678"/>
      <c r="H17" s="678"/>
      <c r="I17" s="678"/>
      <c r="J17" s="678"/>
      <c r="K17" s="289" t="s">
        <v>1164</v>
      </c>
      <c r="V17" s="505">
        <v>0</v>
      </c>
    </row>
    <row customHeight="1" ht="48.29999999999999">
      <c r="A18" s="505"/>
      <c r="C18" s="526"/>
      <c r="D18" s="521">
        <v>3</v>
      </c>
      <c r="E18" s="279" t="s">
        <v>822</v>
      </c>
      <c r="F18" s="521" t="s">
        <v>314</v>
      </c>
      <c r="G18" s="809" t="s">
        <v>314</v>
      </c>
      <c r="H18" s="810" t="s">
        <v>314</v>
      </c>
      <c r="I18" s="521" t="s">
        <v>314</v>
      </c>
      <c r="J18" s="578" t="s">
        <v>314</v>
      </c>
      <c r="K18" s="289" t="s">
        <v>1165</v>
      </c>
      <c r="V18" s="505">
        <v>46</v>
      </c>
    </row>
    <row customHeight="1" ht="35.699999999999996">
      <c r="A19" s="505"/>
      <c r="C19" s="526"/>
      <c r="D19" s="539" t="s">
        <v>332</v>
      </c>
      <c r="E19" s="559" t="s">
        <v>824</v>
      </c>
      <c r="F19" s="521" t="s">
        <v>825</v>
      </c>
      <c r="G19" s="817"/>
      <c r="H19" s="106"/>
      <c r="I19" s="817"/>
      <c r="J19" s="818"/>
      <c r="K19" s="679"/>
      <c r="V19" s="505">
        <v>34</v>
      </c>
    </row>
    <row customHeight="1" ht="35.699999999999996">
      <c r="A20" s="505"/>
      <c r="C20" s="526"/>
      <c r="D20" s="1890" t="s">
        <v>340</v>
      </c>
      <c r="E20" s="559" t="s">
        <v>826</v>
      </c>
      <c r="F20" s="521" t="s">
        <v>827</v>
      </c>
      <c r="G20" s="817"/>
      <c r="H20" s="106"/>
      <c r="I20" s="817"/>
      <c r="J20" s="106"/>
      <c r="K20" s="679"/>
      <c r="V20" s="505">
        <v>34</v>
      </c>
    </row>
    <row customHeight="1" ht="48.29999999999999">
      <c r="A21" s="505"/>
      <c r="C21" s="526"/>
      <c r="D21" s="1890" t="s">
        <v>342</v>
      </c>
      <c r="E21" s="559" t="s">
        <v>828</v>
      </c>
      <c r="F21" s="521" t="s">
        <v>579</v>
      </c>
      <c r="G21" s="680"/>
      <c r="H21" s="106"/>
      <c r="I21" s="680"/>
      <c r="J21" s="106"/>
      <c r="K21" s="679"/>
      <c r="V21" s="505">
        <v>46</v>
      </c>
    </row>
    <row customHeight="1" ht="67.5" hidden="1">
      <c r="A22" s="505"/>
      <c r="C22" s="526"/>
      <c r="D22" s="521">
        <v>5</v>
      </c>
      <c r="E22" s="279" t="s">
        <v>1166</v>
      </c>
      <c r="F22" s="521" t="s">
        <v>566</v>
      </c>
      <c r="G22" s="681"/>
      <c r="H22" s="682"/>
      <c r="I22" s="681"/>
      <c r="J22" s="682"/>
      <c r="K22" s="289" t="s">
        <v>1167</v>
      </c>
      <c r="V22" s="505">
        <v>0</v>
      </c>
    </row>
    <row customHeight="1" ht="33.75" hidden="1">
      <c r="C23" s="451"/>
      <c r="D23" s="521">
        <v>6</v>
      </c>
      <c r="E23" s="279" t="s">
        <v>1168</v>
      </c>
      <c r="F23" s="521" t="s">
        <v>1169</v>
      </c>
      <c r="G23" s="681"/>
      <c r="H23" s="681"/>
      <c r="I23" s="681"/>
      <c r="J23" s="681"/>
      <c r="K23" s="289" t="s">
        <v>1170</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86</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55110FC-0878-3158-900A-F0B94694271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1171</v>
      </c>
      <c r="B1" s="1067" t="s">
        <v>1172</v>
      </c>
      <c r="C1" s="1067" t="s">
        <v>1173</v>
      </c>
      <c r="D1" s="1067" t="s">
        <v>1174</v>
      </c>
      <c r="E1" s="1067" t="s">
        <v>1175</v>
      </c>
      <c r="F1" s="1067" t="s">
        <v>1176</v>
      </c>
      <c r="G1" s="1067" t="s">
        <v>1177</v>
      </c>
      <c r="H1" s="1067" t="s">
        <v>1178</v>
      </c>
      <c r="I1" s="1067" t="s">
        <v>1179</v>
      </c>
      <c r="J1" s="1067" t="s">
        <v>1180</v>
      </c>
      <c r="K1" s="1067" t="s">
        <v>1181</v>
      </c>
      <c r="L1" s="1067" t="s">
        <v>1182</v>
      </c>
      <c r="M1" s="1067"/>
      <c r="N1" s="1067" t="s">
        <v>1183</v>
      </c>
      <c r="O1" s="1067" t="s">
        <v>1184</v>
      </c>
      <c r="P1" s="1067" t="s">
        <v>1185</v>
      </c>
      <c r="Q1" s="1067" t="s">
        <v>1186</v>
      </c>
      <c r="R1" s="1067" t="s">
        <v>1187</v>
      </c>
      <c r="S1" s="1067" t="s">
        <v>1188</v>
      </c>
      <c r="T1" s="1067" t="s">
        <v>1189</v>
      </c>
      <c r="U1" s="1067" t="s">
        <v>1190</v>
      </c>
      <c r="V1" s="1067"/>
      <c r="W1" s="797" t="s">
        <v>1191</v>
      </c>
      <c r="X1" s="1067" t="s">
        <v>1192</v>
      </c>
      <c r="Y1" s="1067" t="s">
        <v>1193</v>
      </c>
      <c r="Z1" s="1067"/>
      <c r="AA1" s="1067" t="s">
        <v>1194</v>
      </c>
      <c r="AB1" s="1067"/>
      <c r="AC1" s="1067" t="s">
        <v>1195</v>
      </c>
      <c r="AD1" s="1067"/>
      <c r="AF1" s="1067" t="s">
        <v>1196</v>
      </c>
      <c r="AH1" s="1067" t="s">
        <v>1197</v>
      </c>
      <c r="AI1" s="1067" t="s">
        <v>1198</v>
      </c>
      <c r="AK1" s="1067" t="s">
        <v>1199</v>
      </c>
      <c r="AM1" s="1067" t="s">
        <v>1200</v>
      </c>
      <c r="AP1" s="1067" t="s">
        <v>1201</v>
      </c>
      <c r="AQ1" s="1067" t="s">
        <v>1202</v>
      </c>
      <c r="AS1" s="1067" t="s">
        <v>1203</v>
      </c>
      <c r="AU1" s="1067" t="s">
        <v>1204</v>
      </c>
      <c r="AW1" s="1067" t="s">
        <v>1205</v>
      </c>
      <c r="AX1" s="1067" t="s">
        <v>1206</v>
      </c>
      <c r="AZ1" s="1152" t="s">
        <v>1207</v>
      </c>
      <c r="BB1" s="1067" t="s">
        <v>1208</v>
      </c>
      <c r="BC1" s="1067"/>
      <c r="BE1" s="1067" t="s">
        <v>1209</v>
      </c>
      <c r="BF1" s="1067" t="s">
        <v>1210</v>
      </c>
      <c r="BH1" s="1069" t="s">
        <v>815</v>
      </c>
      <c r="BI1" s="1070"/>
      <c r="BJ1" s="1071" t="s">
        <v>1211</v>
      </c>
      <c r="BK1" s="1070"/>
      <c r="BL1" s="1072" t="s">
        <v>914</v>
      </c>
      <c r="BM1" s="1070"/>
      <c r="BN1" s="1073" t="s">
        <v>1212</v>
      </c>
      <c r="BS1" s="1427"/>
    </row>
    <row customHeight="1" ht="11.25">
      <c r="A2" s="1074" t="s">
        <v>1213</v>
      </c>
      <c r="B2" s="1075">
        <v>2000</v>
      </c>
      <c r="C2" s="1075">
        <v>2022</v>
      </c>
      <c r="D2" s="1075" t="s">
        <v>70</v>
      </c>
      <c r="E2" s="1076" t="s">
        <v>1214</v>
      </c>
      <c r="F2" s="1076" t="s">
        <v>1215</v>
      </c>
      <c r="G2" s="1076" t="s">
        <v>1216</v>
      </c>
      <c r="H2" s="1077" t="s">
        <v>59</v>
      </c>
      <c r="I2" s="1076" t="s">
        <v>113</v>
      </c>
      <c r="J2" s="1076" t="s">
        <v>1217</v>
      </c>
      <c r="K2" s="1078" t="s">
        <v>1218</v>
      </c>
      <c r="L2" s="1079"/>
      <c r="M2" s="1078">
        <v>1</v>
      </c>
      <c r="N2" s="1162" t="s">
        <v>1219</v>
      </c>
      <c r="O2" s="1077" t="s">
        <v>457</v>
      </c>
      <c r="P2" s="1080" t="s">
        <v>1220</v>
      </c>
      <c r="Q2" s="1081" t="s">
        <v>455</v>
      </c>
      <c r="R2" s="143" t="s">
        <v>1221</v>
      </c>
      <c r="S2" s="143" t="s">
        <v>1222</v>
      </c>
      <c r="T2" s="1082" t="s">
        <v>1223</v>
      </c>
      <c r="U2" s="1079" t="s">
        <v>1224</v>
      </c>
      <c r="V2" s="1083">
        <v>1</v>
      </c>
      <c r="W2" s="1084"/>
      <c r="X2" s="1084" t="s">
        <v>1225</v>
      </c>
      <c r="Y2" s="1075" t="s">
        <v>1226</v>
      </c>
      <c r="Z2" s="1085"/>
      <c r="AA2" s="1075" t="s">
        <v>1227</v>
      </c>
      <c r="AB2" s="1086" t="s">
        <v>1227</v>
      </c>
      <c r="AC2" s="1075" t="s">
        <v>1228</v>
      </c>
      <c r="AD2" s="1086" t="s">
        <v>1228</v>
      </c>
      <c r="AF2" s="1077" t="s">
        <v>1224</v>
      </c>
      <c r="AH2" s="1076" t="s">
        <v>1229</v>
      </c>
      <c r="AI2" s="1076" t="s">
        <v>1229</v>
      </c>
      <c r="AK2" s="1076" t="s">
        <v>1230</v>
      </c>
      <c r="AM2" s="1076" t="s">
        <v>1231</v>
      </c>
      <c r="AP2" s="1087" t="s">
        <v>1225</v>
      </c>
      <c r="AQ2" s="1088" t="s">
        <v>1225</v>
      </c>
      <c r="AS2" s="1075" t="s">
        <v>1232</v>
      </c>
      <c r="AU2" s="1120" t="s">
        <v>1233</v>
      </c>
      <c r="AW2" s="1120" t="s">
        <v>1234</v>
      </c>
      <c r="AX2" s="1120" t="s">
        <v>1234</v>
      </c>
      <c r="AZ2" s="1120" t="s">
        <v>57</v>
      </c>
      <c r="BB2" s="1120" t="s">
        <v>1235</v>
      </c>
      <c r="BC2" s="1120" t="s">
        <v>1236</v>
      </c>
      <c r="BE2" s="1120">
        <v>2000</v>
      </c>
      <c r="BF2" s="1120" t="s">
        <v>1237</v>
      </c>
    </row>
    <row customHeight="1" ht="11.25">
      <c r="A3" s="1074" t="s">
        <v>1238</v>
      </c>
      <c r="B3" s="1075">
        <v>2001</v>
      </c>
      <c r="C3" s="1075">
        <v>2023</v>
      </c>
      <c r="D3" s="1075" t="s">
        <v>19</v>
      </c>
      <c r="E3" s="1076" t="s">
        <v>1239</v>
      </c>
      <c r="F3" s="1076" t="s">
        <v>1240</v>
      </c>
      <c r="G3" s="1076" t="s">
        <v>1241</v>
      </c>
      <c r="H3" s="1077" t="s">
        <v>1242</v>
      </c>
      <c r="I3" s="1076" t="s">
        <v>114</v>
      </c>
      <c r="J3" s="1076" t="s">
        <v>564</v>
      </c>
      <c r="K3" s="1078" t="s">
        <v>1243</v>
      </c>
      <c r="L3" s="1079">
        <f>_xlfn.IFERROR(MATCH(K3,OFFER_METHOD,0),0)</f>
        <v>0</v>
      </c>
      <c r="M3" s="1078">
        <v>2</v>
      </c>
      <c r="N3" s="1162" t="s">
        <v>1244</v>
      </c>
      <c r="O3" s="1077" t="s">
        <v>1245</v>
      </c>
      <c r="P3" s="1080" t="s">
        <v>37</v>
      </c>
      <c r="Q3" s="1081" t="s">
        <v>1246</v>
      </c>
      <c r="R3" s="143" t="s">
        <v>1247</v>
      </c>
      <c r="S3" s="143" t="s">
        <v>1248</v>
      </c>
      <c r="T3" s="1082" t="s">
        <v>1249</v>
      </c>
      <c r="U3" s="1079" t="s">
        <v>1250</v>
      </c>
      <c r="V3" s="1083">
        <v>2</v>
      </c>
      <c r="W3" s="1084"/>
      <c r="X3" s="1084" t="s">
        <v>1251</v>
      </c>
      <c r="Y3" s="1075" t="s">
        <v>1226</v>
      </c>
      <c r="Z3" s="1085"/>
      <c r="AA3" s="1075" t="s">
        <v>1252</v>
      </c>
      <c r="AB3" s="1086" t="s">
        <v>1252</v>
      </c>
      <c r="AC3" s="1075" t="s">
        <v>1253</v>
      </c>
      <c r="AD3" s="1086" t="s">
        <v>1253</v>
      </c>
      <c r="AF3" s="1077" t="s">
        <v>1250</v>
      </c>
      <c r="AH3" s="1076" t="s">
        <v>1254</v>
      </c>
      <c r="AI3" s="1076" t="s">
        <v>1255</v>
      </c>
      <c r="AK3" s="1076" t="s">
        <v>1256</v>
      </c>
      <c r="AM3" s="1076" t="s">
        <v>1257</v>
      </c>
      <c r="AP3" s="1087" t="s">
        <v>1258</v>
      </c>
      <c r="AQ3" s="1088" t="s">
        <v>1258</v>
      </c>
      <c r="AS3" s="1075" t="s">
        <v>1259</v>
      </c>
      <c r="AU3" s="1120" t="s">
        <v>1260</v>
      </c>
      <c r="AW3" s="1120" t="s">
        <v>1261</v>
      </c>
      <c r="AX3" s="1120" t="s">
        <v>1261</v>
      </c>
      <c r="AZ3" s="1120" t="s">
        <v>1262</v>
      </c>
      <c r="BB3" s="1120" t="s">
        <v>1263</v>
      </c>
      <c r="BC3" s="1120" t="s">
        <v>1236</v>
      </c>
      <c r="BE3" s="1120">
        <v>2001</v>
      </c>
      <c r="BF3" s="1120" t="s">
        <v>1264</v>
      </c>
      <c r="BH3" s="1067" t="s">
        <v>1265</v>
      </c>
      <c r="BJ3" s="1067" t="s">
        <v>1266</v>
      </c>
      <c r="BL3" s="1067" t="s">
        <v>1267</v>
      </c>
      <c r="BN3" s="1067" t="s">
        <v>1268</v>
      </c>
      <c r="BR3" s="1067" t="s">
        <v>1269</v>
      </c>
      <c r="BS3" s="1428"/>
      <c r="BT3" s="1070"/>
      <c r="BU3" s="1067" t="s">
        <v>1270</v>
      </c>
      <c r="BV3" s="1070"/>
      <c r="BW3" s="1690"/>
      <c r="BX3" s="1692" t="s">
        <v>1271</v>
      </c>
      <c r="CA3" s="1067" t="s">
        <v>1272</v>
      </c>
    </row>
    <row customHeight="1" ht="11.25">
      <c r="A4" s="1074" t="s">
        <v>1273</v>
      </c>
      <c r="B4" s="1075">
        <v>2002</v>
      </c>
      <c r="C4" s="1075">
        <v>2024</v>
      </c>
      <c r="E4" s="1076" t="s">
        <v>1274</v>
      </c>
      <c r="F4" s="1076" t="s">
        <v>1275</v>
      </c>
      <c r="H4" s="1077" t="s">
        <v>1276</v>
      </c>
      <c r="I4" s="1076" t="s">
        <v>94</v>
      </c>
      <c r="J4" s="1076" t="s">
        <v>1277</v>
      </c>
      <c r="K4" s="1078" t="s">
        <v>1278</v>
      </c>
      <c r="L4" s="1079">
        <f>_xlfn.IFERROR(MATCH(K4,OFFER_METHOD,0),0)</f>
        <v>0</v>
      </c>
      <c r="M4" s="1078">
        <v>3</v>
      </c>
      <c r="N4" s="1162" t="s">
        <v>1279</v>
      </c>
      <c r="O4" s="1076" t="s">
        <v>1280</v>
      </c>
      <c r="Q4" s="1081" t="s">
        <v>1281</v>
      </c>
      <c r="R4" s="143" t="s">
        <v>1282</v>
      </c>
      <c r="S4" s="143" t="s">
        <v>1283</v>
      </c>
      <c r="T4" s="1082" t="s">
        <v>1284</v>
      </c>
      <c r="U4" s="1079" t="s">
        <v>1285</v>
      </c>
      <c r="V4" s="1083">
        <v>3</v>
      </c>
      <c r="W4" s="1084"/>
      <c r="X4" s="1084" t="s">
        <v>1286</v>
      </c>
      <c r="Y4" s="1075" t="s">
        <v>1226</v>
      </c>
      <c r="Z4" s="1091"/>
      <c r="AC4" s="1075" t="s">
        <v>1287</v>
      </c>
      <c r="AD4" s="1086" t="s">
        <v>1287</v>
      </c>
      <c r="AF4" s="1077" t="s">
        <v>1285</v>
      </c>
      <c r="AH4" s="1077" t="s">
        <v>1288</v>
      </c>
      <c r="AK4" s="1076" t="s">
        <v>1289</v>
      </c>
      <c r="AM4" s="1076" t="s">
        <v>1290</v>
      </c>
      <c r="AP4" s="1087" t="s">
        <v>1251</v>
      </c>
      <c r="AQ4" s="1088" t="s">
        <v>1251</v>
      </c>
      <c r="AS4" s="1075" t="s">
        <v>1291</v>
      </c>
      <c r="AU4" s="1120" t="s">
        <v>1292</v>
      </c>
      <c r="AW4" s="1120" t="s">
        <v>1293</v>
      </c>
      <c r="AX4" s="1120" t="s">
        <v>1293</v>
      </c>
      <c r="AZ4" s="1120" t="s">
        <v>1294</v>
      </c>
      <c r="BB4" s="1120" t="s">
        <v>1295</v>
      </c>
      <c r="BC4" s="1120" t="s">
        <v>1296</v>
      </c>
      <c r="BE4" s="1120">
        <v>2002</v>
      </c>
      <c r="BF4" s="1120" t="s">
        <v>1297</v>
      </c>
      <c r="BH4" s="1068" t="s">
        <v>1298</v>
      </c>
      <c r="BJ4" s="1068" t="s">
        <v>1298</v>
      </c>
      <c r="BL4" s="1068" t="s">
        <v>1298</v>
      </c>
      <c r="BN4" s="1068" t="s">
        <v>1298</v>
      </c>
      <c r="BQ4" s="1432" t="s">
        <v>1299</v>
      </c>
      <c r="BR4" s="1159" t="s">
        <v>1300</v>
      </c>
      <c r="BS4" s="274"/>
      <c r="BT4" s="1432" t="s">
        <v>1301</v>
      </c>
      <c r="BU4" s="1159" t="s">
        <v>1302</v>
      </c>
      <c r="BV4" s="1070"/>
      <c r="BW4" s="1697" t="s">
        <v>1303</v>
      </c>
      <c r="BX4" s="1691" t="s">
        <v>1304</v>
      </c>
      <c r="BZ4" s="1432" t="s">
        <v>1305</v>
      </c>
      <c r="CA4" s="1159" t="s">
        <v>1306</v>
      </c>
    </row>
    <row customHeight="1" ht="11.25">
      <c r="A5" s="1074" t="s">
        <v>1307</v>
      </c>
      <c r="B5" s="1075">
        <v>2003</v>
      </c>
      <c r="C5" s="1075">
        <v>2025</v>
      </c>
      <c r="E5" s="1076" t="s">
        <v>1308</v>
      </c>
      <c r="F5" s="1076" t="s">
        <v>1309</v>
      </c>
      <c r="H5" s="1077" t="s">
        <v>1310</v>
      </c>
      <c r="I5" s="1076" t="s">
        <v>95</v>
      </c>
      <c r="K5" s="1078" t="s">
        <v>1311</v>
      </c>
      <c r="L5" s="1079">
        <f>_xlfn.IFERROR(MATCH(K5,OFFER_METHOD,0),0)</f>
        <v>0</v>
      </c>
      <c r="M5" s="1078">
        <v>4</v>
      </c>
      <c r="N5" s="1092" t="s">
        <v>1312</v>
      </c>
      <c r="O5" s="1076" t="s">
        <v>1313</v>
      </c>
      <c r="Q5" s="1081" t="s">
        <v>1314</v>
      </c>
      <c r="R5" s="143" t="s">
        <v>456</v>
      </c>
      <c r="T5" s="1077" t="s">
        <v>1315</v>
      </c>
      <c r="U5" s="1079" t="s">
        <v>1316</v>
      </c>
      <c r="V5" s="1083">
        <v>4</v>
      </c>
      <c r="W5" s="1084"/>
      <c r="X5" s="1084" t="s">
        <v>176</v>
      </c>
      <c r="Y5" s="1075" t="s">
        <v>1317</v>
      </c>
      <c r="Z5" s="1091">
        <v>1</v>
      </c>
      <c r="AF5" s="1077" t="s">
        <v>1318</v>
      </c>
      <c r="AH5" s="1076" t="s">
        <v>1319</v>
      </c>
      <c r="AK5" s="1076" t="s">
        <v>1320</v>
      </c>
      <c r="AM5" s="1076" t="s">
        <v>1321</v>
      </c>
      <c r="AP5" s="1087" t="s">
        <v>176</v>
      </c>
      <c r="AQ5" s="1088" t="s">
        <v>176</v>
      </c>
      <c r="AU5" s="1120" t="s">
        <v>1322</v>
      </c>
      <c r="AW5" s="1120" t="s">
        <v>1323</v>
      </c>
      <c r="AX5" s="1120" t="s">
        <v>1323</v>
      </c>
      <c r="AZ5" s="1120" t="s">
        <v>1324</v>
      </c>
      <c r="BB5" s="1120" t="s">
        <v>1325</v>
      </c>
      <c r="BC5" s="1120" t="s">
        <v>1326</v>
      </c>
      <c r="BE5" s="1120">
        <v>2003</v>
      </c>
      <c r="BF5" s="1120" t="s">
        <v>1327</v>
      </c>
      <c r="BH5" s="1068" t="s">
        <v>1328</v>
      </c>
      <c r="BJ5" s="1068" t="s">
        <v>1328</v>
      </c>
      <c r="BL5" s="1068" t="s">
        <v>1328</v>
      </c>
      <c r="BN5" s="1068" t="s">
        <v>1329</v>
      </c>
      <c r="BQ5" s="1281">
        <v>4213775</v>
      </c>
      <c r="BR5" s="1068" t="s">
        <v>1225</v>
      </c>
      <c r="BS5" s="1429"/>
      <c r="BT5" s="1281">
        <v>64236871</v>
      </c>
      <c r="BU5" s="1068" t="s">
        <v>237</v>
      </c>
      <c r="BV5" s="1070"/>
      <c r="BW5" s="1695">
        <v>4213767</v>
      </c>
      <c r="BX5" s="1693" t="s">
        <v>1330</v>
      </c>
      <c r="BZ5" s="1281">
        <v>64237509</v>
      </c>
      <c r="CA5" s="1295" t="s">
        <v>1331</v>
      </c>
    </row>
    <row customHeight="1" ht="11.25">
      <c r="A6" s="1074" t="s">
        <v>1332</v>
      </c>
      <c r="B6" s="1075">
        <v>2004</v>
      </c>
      <c r="C6" s="1075">
        <v>2026</v>
      </c>
      <c r="E6" s="1076" t="s">
        <v>1333</v>
      </c>
      <c r="F6" s="1093"/>
      <c r="H6" s="1077" t="s">
        <v>1334</v>
      </c>
      <c r="I6" s="1076" t="s">
        <v>115</v>
      </c>
      <c r="J6" s="1067" t="s">
        <v>1335</v>
      </c>
      <c r="L6" s="1079">
        <f>SUM(kind_of_control_method_filter)</f>
        <v>0</v>
      </c>
      <c r="N6" s="1092" t="s">
        <v>1336</v>
      </c>
      <c r="O6" s="1076" t="s">
        <v>1337</v>
      </c>
      <c r="R6" s="143" t="s">
        <v>455</v>
      </c>
      <c r="T6" s="1077" t="s">
        <v>1338</v>
      </c>
      <c r="U6" s="1079" t="s">
        <v>1318</v>
      </c>
      <c r="V6" s="1083">
        <v>5</v>
      </c>
      <c r="W6" s="1084"/>
      <c r="X6" s="1075" t="s">
        <v>182</v>
      </c>
      <c r="Y6" s="1075" t="s">
        <v>1339</v>
      </c>
      <c r="Z6" s="1091"/>
      <c r="AA6" s="1094"/>
      <c r="AH6" s="1076" t="s">
        <v>1340</v>
      </c>
      <c r="AK6" s="1076" t="s">
        <v>1341</v>
      </c>
      <c r="AM6" s="1076" t="s">
        <v>1342</v>
      </c>
      <c r="AP6" s="1087" t="s">
        <v>182</v>
      </c>
      <c r="AQ6" s="1088" t="s">
        <v>182</v>
      </c>
      <c r="AU6" s="1120" t="s">
        <v>1343</v>
      </c>
      <c r="AW6" s="1120" t="s">
        <v>1344</v>
      </c>
      <c r="AX6" s="1120" t="s">
        <v>1344</v>
      </c>
      <c r="BB6" s="1120" t="s">
        <v>1345</v>
      </c>
      <c r="BC6" s="1120" t="s">
        <v>1326</v>
      </c>
      <c r="BE6" s="1120">
        <v>2004</v>
      </c>
      <c r="BF6" s="1120" t="s">
        <v>1346</v>
      </c>
      <c r="BH6" s="1068" t="s">
        <v>1347</v>
      </c>
      <c r="BJ6" s="1068" t="s">
        <v>1348</v>
      </c>
      <c r="BL6" s="1068" t="s">
        <v>1348</v>
      </c>
      <c r="BN6" s="1068" t="s">
        <v>1349</v>
      </c>
      <c r="BQ6" s="1281">
        <v>4213784</v>
      </c>
      <c r="BR6" s="1295" t="s">
        <v>1258</v>
      </c>
      <c r="BS6" s="1430"/>
      <c r="BT6" s="1281">
        <v>64236872</v>
      </c>
      <c r="BU6" s="1068" t="s">
        <v>242</v>
      </c>
      <c r="BV6" s="1070"/>
      <c r="BW6" s="1695">
        <v>4213768</v>
      </c>
      <c r="BX6" s="1693" t="s">
        <v>262</v>
      </c>
      <c r="BZ6" s="1281">
        <v>64237510</v>
      </c>
      <c r="CA6" s="1068" t="s">
        <v>1350</v>
      </c>
    </row>
    <row customHeight="1" ht="11.25">
      <c r="A7" s="1074" t="s">
        <v>1351</v>
      </c>
      <c r="B7" s="1075">
        <v>2005</v>
      </c>
      <c r="E7" s="1076" t="s">
        <v>1352</v>
      </c>
      <c r="F7" s="1093"/>
      <c r="H7" s="1077" t="s">
        <v>1353</v>
      </c>
      <c r="I7" s="1076" t="s">
        <v>96</v>
      </c>
      <c r="J7" s="1076" t="s">
        <v>1354</v>
      </c>
      <c r="N7" s="1096" t="s">
        <v>1355</v>
      </c>
      <c r="O7" s="1076" t="s">
        <v>1356</v>
      </c>
      <c r="U7" s="1079" t="s">
        <v>19</v>
      </c>
      <c r="V7" s="370" t="s">
        <v>96</v>
      </c>
      <c r="W7" s="1084"/>
      <c r="X7" s="1075" t="s">
        <v>188</v>
      </c>
      <c r="Y7" s="1075" t="s">
        <v>1317</v>
      </c>
      <c r="Z7" s="1091"/>
      <c r="AA7" s="1094"/>
      <c r="AH7" s="1076" t="s">
        <v>1357</v>
      </c>
      <c r="AK7" s="1076" t="s">
        <v>1358</v>
      </c>
      <c r="AM7" s="1076" t="s">
        <v>1359</v>
      </c>
      <c r="AP7" s="1087" t="s">
        <v>188</v>
      </c>
      <c r="AQ7" s="1088" t="s">
        <v>188</v>
      </c>
      <c r="AU7" s="1120" t="s">
        <v>1360</v>
      </c>
      <c r="AW7" s="1120" t="s">
        <v>1361</v>
      </c>
      <c r="AX7" s="1120" t="s">
        <v>1361</v>
      </c>
      <c r="AZ7" s="1067" t="s">
        <v>1362</v>
      </c>
      <c r="BB7" s="1120" t="s">
        <v>1363</v>
      </c>
      <c r="BC7" s="1120" t="s">
        <v>1326</v>
      </c>
      <c r="BE7" s="1120">
        <v>2005</v>
      </c>
      <c r="BF7" s="1120" t="s">
        <v>1364</v>
      </c>
      <c r="BH7" s="1068" t="s">
        <v>1365</v>
      </c>
      <c r="BJ7" s="1068" t="s">
        <v>1347</v>
      </c>
      <c r="BL7" s="1068" t="s">
        <v>1347</v>
      </c>
      <c r="BN7" s="1068" t="s">
        <v>1366</v>
      </c>
      <c r="BQ7" s="1281">
        <v>4213781</v>
      </c>
      <c r="BR7" s="1068" t="s">
        <v>1251</v>
      </c>
      <c r="BS7" s="1429"/>
      <c r="BT7" s="1281">
        <v>64236873</v>
      </c>
      <c r="BU7" s="1068" t="s">
        <v>247</v>
      </c>
      <c r="BV7" s="1070"/>
      <c r="BW7" s="1695">
        <v>4213769</v>
      </c>
      <c r="BX7" s="1693" t="s">
        <v>1367</v>
      </c>
      <c r="BZ7" s="1281">
        <v>64237511</v>
      </c>
      <c r="CA7" s="1068" t="s">
        <v>277</v>
      </c>
    </row>
    <row customHeight="1" ht="11.25">
      <c r="A8" s="1074" t="s">
        <v>1368</v>
      </c>
      <c r="B8" s="1075">
        <v>2006</v>
      </c>
      <c r="E8" s="1076" t="s">
        <v>1369</v>
      </c>
      <c r="F8" s="1093"/>
      <c r="H8" s="1077" t="s">
        <v>1370</v>
      </c>
      <c r="I8" s="1076" t="s">
        <v>97</v>
      </c>
      <c r="J8" s="1076" t="s">
        <v>1371</v>
      </c>
      <c r="N8" s="1163" t="s">
        <v>1372</v>
      </c>
      <c r="O8" s="1076" t="s">
        <v>1373</v>
      </c>
      <c r="V8" s="370" t="s">
        <v>97</v>
      </c>
      <c r="W8" s="1084"/>
      <c r="X8" s="1075" t="s">
        <v>194</v>
      </c>
      <c r="Y8" s="1075" t="s">
        <v>1317</v>
      </c>
      <c r="Z8" s="1091"/>
      <c r="AA8" s="1094"/>
      <c r="AK8" s="1076" t="s">
        <v>1374</v>
      </c>
      <c r="AP8" s="1087" t="s">
        <v>194</v>
      </c>
      <c r="AQ8" s="1088" t="s">
        <v>194</v>
      </c>
      <c r="AU8" s="1120" t="s">
        <v>1375</v>
      </c>
      <c r="AW8" s="1120" t="s">
        <v>1376</v>
      </c>
      <c r="AX8" s="1120" t="s">
        <v>1376</v>
      </c>
      <c r="AZ8" s="1120" t="s">
        <v>1377</v>
      </c>
      <c r="BB8" s="1120" t="s">
        <v>1378</v>
      </c>
      <c r="BC8" s="1120" t="s">
        <v>1326</v>
      </c>
      <c r="BE8" s="1120">
        <v>2006</v>
      </c>
      <c r="BF8" s="1120" t="s">
        <v>1379</v>
      </c>
      <c r="BH8" s="1068" t="s">
        <v>1380</v>
      </c>
      <c r="BJ8" s="1068" t="s">
        <v>1381</v>
      </c>
      <c r="BL8" s="1068" t="s">
        <v>1381</v>
      </c>
      <c r="BN8" s="1068" t="s">
        <v>1382</v>
      </c>
      <c r="BQ8" s="1281">
        <v>4213776</v>
      </c>
      <c r="BR8" s="1068" t="s">
        <v>176</v>
      </c>
      <c r="BS8" s="1429"/>
      <c r="BT8" s="1281">
        <v>64236874</v>
      </c>
      <c r="BU8" s="1295" t="s">
        <v>1383</v>
      </c>
      <c r="BV8" s="1070"/>
      <c r="BW8" s="1695">
        <v>4213770</v>
      </c>
      <c r="BX8" s="1696" t="s">
        <v>1384</v>
      </c>
      <c r="BZ8" s="1281">
        <v>64237512</v>
      </c>
      <c r="CA8" s="1068" t="s">
        <v>272</v>
      </c>
    </row>
    <row customHeight="1" ht="11.25">
      <c r="A9" s="1074" t="s">
        <v>1385</v>
      </c>
      <c r="B9" s="1075">
        <v>2007</v>
      </c>
      <c r="E9" s="1076" t="s">
        <v>1386</v>
      </c>
      <c r="F9" s="1093"/>
      <c r="G9" s="1067" t="s">
        <v>1387</v>
      </c>
      <c r="H9" s="1067" t="s">
        <v>1388</v>
      </c>
      <c r="I9" s="1076" t="s">
        <v>116</v>
      </c>
      <c r="O9" s="1076" t="s">
        <v>1389</v>
      </c>
      <c r="V9" s="370" t="s">
        <v>116</v>
      </c>
      <c r="W9" s="1084"/>
      <c r="X9" s="1075" t="s">
        <v>200</v>
      </c>
      <c r="Y9" s="1075" t="s">
        <v>1226</v>
      </c>
      <c r="Z9" s="1091">
        <v>1</v>
      </c>
      <c r="AA9" s="1094"/>
      <c r="AK9" s="1076" t="s">
        <v>1390</v>
      </c>
      <c r="AP9" s="1087" t="s">
        <v>1391</v>
      </c>
      <c r="AQ9" s="1088" t="s">
        <v>1391</v>
      </c>
      <c r="AW9" s="1120" t="s">
        <v>1392</v>
      </c>
      <c r="AX9" s="1120" t="s">
        <v>1392</v>
      </c>
      <c r="AZ9" s="1120" t="s">
        <v>1393</v>
      </c>
      <c r="BB9" s="1120" t="s">
        <v>1394</v>
      </c>
      <c r="BC9" s="1120" t="s">
        <v>1326</v>
      </c>
      <c r="BE9" s="1120">
        <v>2007</v>
      </c>
      <c r="BF9" s="1120" t="s">
        <v>1395</v>
      </c>
      <c r="BH9" s="1068" t="s">
        <v>1396</v>
      </c>
      <c r="BJ9" s="1068" t="s">
        <v>1397</v>
      </c>
      <c r="BL9" s="1068" t="s">
        <v>1397</v>
      </c>
      <c r="BN9" s="1068" t="s">
        <v>1398</v>
      </c>
      <c r="BQ9" s="1281">
        <v>4213777</v>
      </c>
      <c r="BR9" s="1068" t="s">
        <v>182</v>
      </c>
      <c r="BS9" s="1429"/>
      <c r="BT9" s="1281">
        <v>64236875</v>
      </c>
      <c r="BU9" s="1068" t="s">
        <v>252</v>
      </c>
      <c r="BV9" s="1070"/>
      <c r="BW9" s="1690"/>
      <c r="BX9" s="1690"/>
    </row>
    <row customHeight="1" ht="11.25">
      <c r="A10" s="1074" t="s">
        <v>1399</v>
      </c>
      <c r="B10" s="1075">
        <v>2008</v>
      </c>
      <c r="E10" s="1076" t="s">
        <v>1400</v>
      </c>
      <c r="F10" s="1093"/>
      <c r="G10" s="1076" t="s">
        <v>1401</v>
      </c>
      <c r="H10" s="1076" t="s">
        <v>1402</v>
      </c>
      <c r="I10" s="1076" t="s">
        <v>152</v>
      </c>
      <c r="J10" s="1067" t="s">
        <v>1403</v>
      </c>
      <c r="K10" s="1067" t="s">
        <v>1404</v>
      </c>
      <c r="O10" s="1076" t="s">
        <v>1405</v>
      </c>
      <c r="V10" s="371" t="s">
        <v>152</v>
      </c>
      <c r="W10" s="1097"/>
      <c r="X10" s="1097" t="s">
        <v>1406</v>
      </c>
      <c r="Y10" s="1098" t="s">
        <v>1407</v>
      </c>
      <c r="Z10" s="1091"/>
      <c r="AP10" s="1087" t="s">
        <v>1406</v>
      </c>
      <c r="AQ10" s="1088" t="s">
        <v>1406</v>
      </c>
      <c r="AW10" s="1120" t="s">
        <v>1408</v>
      </c>
      <c r="AX10" s="1120" t="s">
        <v>1408</v>
      </c>
      <c r="AZ10" s="1120" t="s">
        <v>1409</v>
      </c>
      <c r="BB10" s="1120" t="s">
        <v>1410</v>
      </c>
      <c r="BC10" s="1120" t="s">
        <v>1326</v>
      </c>
      <c r="BE10" s="1120">
        <v>2008</v>
      </c>
      <c r="BF10" s="1120" t="s">
        <v>1411</v>
      </c>
      <c r="BH10" s="1068" t="s">
        <v>1412</v>
      </c>
      <c r="BJ10" s="1068" t="s">
        <v>1413</v>
      </c>
      <c r="BL10" s="1068" t="s">
        <v>1413</v>
      </c>
      <c r="BN10" s="1068" t="s">
        <v>1414</v>
      </c>
      <c r="BQ10" s="1281">
        <v>4213778</v>
      </c>
      <c r="BR10" s="1068" t="s">
        <v>188</v>
      </c>
      <c r="BS10" s="1429"/>
      <c r="BT10" s="1281">
        <v>64236876</v>
      </c>
      <c r="BU10" s="1068" t="s">
        <v>232</v>
      </c>
      <c r="BV10" s="1070"/>
      <c r="BW10" s="1690"/>
      <c r="BX10" s="1690"/>
    </row>
    <row customHeight="1" ht="11.25">
      <c r="A11" s="1074" t="s">
        <v>1415</v>
      </c>
      <c r="B11" s="1075">
        <v>2009</v>
      </c>
      <c r="E11" s="1076" t="s">
        <v>1416</v>
      </c>
      <c r="F11" s="1093"/>
      <c r="G11" s="1076" t="s">
        <v>1417</v>
      </c>
      <c r="H11" s="1076" t="s">
        <v>1418</v>
      </c>
      <c r="I11" s="1076" t="s">
        <v>153</v>
      </c>
      <c r="J11" s="1077" t="s">
        <v>1419</v>
      </c>
      <c r="K11" s="1099" t="s">
        <v>1420</v>
      </c>
      <c r="O11" s="1077" t="s">
        <v>1421</v>
      </c>
      <c r="V11" s="370" t="s">
        <v>153</v>
      </c>
      <c r="W11" s="275"/>
      <c r="X11" s="1084" t="s">
        <v>1391</v>
      </c>
      <c r="Y11" s="1075" t="s">
        <v>1422</v>
      </c>
      <c r="Z11" s="1091"/>
      <c r="AP11" s="1087" t="s">
        <v>200</v>
      </c>
      <c r="AQ11" s="1089" t="s">
        <v>200</v>
      </c>
      <c r="AW11" s="1120" t="s">
        <v>1423</v>
      </c>
      <c r="AX11" s="1120" t="s">
        <v>1423</v>
      </c>
      <c r="AZ11" s="1120" t="s">
        <v>1424</v>
      </c>
      <c r="BB11" s="1120" t="s">
        <v>1425</v>
      </c>
      <c r="BC11" s="1120" t="s">
        <v>1326</v>
      </c>
      <c r="BE11" s="1120">
        <v>2009</v>
      </c>
      <c r="BF11" s="1120" t="s">
        <v>1426</v>
      </c>
      <c r="BH11" s="1068" t="s">
        <v>1427</v>
      </c>
      <c r="BJ11" s="1068" t="s">
        <v>1396</v>
      </c>
      <c r="BL11" s="1068" t="s">
        <v>1396</v>
      </c>
      <c r="BN11" s="1068" t="s">
        <v>1428</v>
      </c>
      <c r="BQ11" s="1281">
        <v>4213780</v>
      </c>
      <c r="BR11" s="1068" t="s">
        <v>194</v>
      </c>
      <c r="BS11" s="1429"/>
      <c r="BW11" s="1690"/>
      <c r="BX11" s="1690"/>
    </row>
    <row customHeight="1" ht="11.25">
      <c r="A12" s="1074" t="s">
        <v>1429</v>
      </c>
      <c r="B12" s="1075">
        <v>2010</v>
      </c>
      <c r="E12" s="1076" t="s">
        <v>1430</v>
      </c>
      <c r="F12" s="1093"/>
      <c r="G12" s="1076" t="s">
        <v>1418</v>
      </c>
      <c r="I12" s="1076" t="s">
        <v>154</v>
      </c>
      <c r="J12" s="1077" t="s">
        <v>1431</v>
      </c>
      <c r="K12" s="1099" t="s">
        <v>1432</v>
      </c>
      <c r="O12" s="1077" t="s">
        <v>455</v>
      </c>
      <c r="V12" s="370" t="s">
        <v>154</v>
      </c>
      <c r="W12" s="1089"/>
      <c r="X12" s="1084" t="s">
        <v>1433</v>
      </c>
      <c r="Y12" s="1075" t="s">
        <v>1226</v>
      </c>
      <c r="AP12" s="1087"/>
      <c r="AW12" s="1120" t="s">
        <v>153</v>
      </c>
      <c r="AX12" s="1120" t="s">
        <v>153</v>
      </c>
      <c r="AZ12" s="1120" t="s">
        <v>1434</v>
      </c>
      <c r="BB12" s="1120" t="s">
        <v>1435</v>
      </c>
      <c r="BC12" s="1120" t="s">
        <v>1326</v>
      </c>
      <c r="BE12" s="1120">
        <v>2010</v>
      </c>
      <c r="BF12" s="1120" t="s">
        <v>1436</v>
      </c>
      <c r="BH12" s="1068" t="s">
        <v>1437</v>
      </c>
      <c r="BJ12" s="1068" t="s">
        <v>1438</v>
      </c>
      <c r="BL12" s="1068" t="s">
        <v>1438</v>
      </c>
      <c r="BN12" s="1068" t="s">
        <v>1439</v>
      </c>
      <c r="BQ12" s="1281">
        <v>4213779</v>
      </c>
      <c r="BR12" s="1068" t="s">
        <v>1391</v>
      </c>
      <c r="BS12" s="1429"/>
      <c r="BT12" s="1070"/>
      <c r="BU12" s="1070"/>
      <c r="BV12" s="1070"/>
      <c r="BW12" s="1690"/>
      <c r="BX12" s="1690"/>
    </row>
    <row customHeight="1" ht="11.25">
      <c r="A13" s="1074" t="s">
        <v>1440</v>
      </c>
      <c r="B13" s="1075">
        <v>2011</v>
      </c>
      <c r="E13" s="1076" t="s">
        <v>1441</v>
      </c>
      <c r="F13" s="1093"/>
      <c r="I13" s="1076" t="s">
        <v>155</v>
      </c>
      <c r="K13" s="1099" t="s">
        <v>1390</v>
      </c>
      <c r="V13" s="370" t="s">
        <v>155</v>
      </c>
      <c r="W13" s="1089"/>
      <c r="X13" s="1089"/>
      <c r="Y13" s="1089"/>
      <c r="AW13" s="1120" t="s">
        <v>154</v>
      </c>
      <c r="AX13" s="1120" t="s">
        <v>154</v>
      </c>
      <c r="BB13" s="1120" t="s">
        <v>1442</v>
      </c>
      <c r="BC13" s="1120" t="s">
        <v>1443</v>
      </c>
      <c r="BE13" s="1120">
        <v>2011</v>
      </c>
      <c r="BF13" s="1120" t="s">
        <v>1444</v>
      </c>
      <c r="BH13" s="1068" t="s">
        <v>1445</v>
      </c>
      <c r="BJ13" s="1068" t="s">
        <v>1427</v>
      </c>
      <c r="BL13" s="1068" t="s">
        <v>1427</v>
      </c>
      <c r="BN13" s="1068" t="s">
        <v>1446</v>
      </c>
      <c r="BQ13" s="1281">
        <v>4213783</v>
      </c>
      <c r="BR13" s="1068" t="s">
        <v>1406</v>
      </c>
      <c r="BS13" s="1429"/>
      <c r="BT13" s="1070"/>
      <c r="BU13" s="1070"/>
      <c r="BV13" s="1070"/>
      <c r="BW13" s="1694"/>
      <c r="BX13" s="1690"/>
    </row>
    <row customHeight="1" ht="11.25">
      <c r="A14" s="1074" t="s">
        <v>1447</v>
      </c>
      <c r="B14" s="1075">
        <v>2012</v>
      </c>
      <c r="I14" s="1076" t="s">
        <v>156</v>
      </c>
      <c r="J14" s="1067" t="s">
        <v>1448</v>
      </c>
      <c r="N14" s="1067" t="s">
        <v>1449</v>
      </c>
      <c r="V14" s="1083">
        <v>13</v>
      </c>
      <c r="W14" s="1084"/>
      <c r="X14" s="1084" t="s">
        <v>1258</v>
      </c>
      <c r="Y14" s="1075" t="s">
        <v>1226</v>
      </c>
      <c r="AW14" s="1120" t="s">
        <v>155</v>
      </c>
      <c r="AX14" s="1120" t="s">
        <v>155</v>
      </c>
      <c r="AZ14" s="1067" t="s">
        <v>1450</v>
      </c>
      <c r="BB14" s="1120" t="s">
        <v>1451</v>
      </c>
      <c r="BC14" s="1120" t="s">
        <v>1443</v>
      </c>
      <c r="BE14" s="1120">
        <v>2012</v>
      </c>
      <c r="BH14" s="1068" t="s">
        <v>1366</v>
      </c>
      <c r="BJ14" s="1217" t="s">
        <v>1452</v>
      </c>
      <c r="BL14" s="1217" t="s">
        <v>1452</v>
      </c>
      <c r="BN14" s="1068" t="s">
        <v>1453</v>
      </c>
      <c r="BQ14" s="1281">
        <v>4213782</v>
      </c>
      <c r="BR14" s="1068" t="s">
        <v>200</v>
      </c>
      <c r="BS14" s="1429"/>
      <c r="BT14" s="1070"/>
      <c r="BU14" s="1070"/>
      <c r="BV14" s="1070"/>
      <c r="BW14" s="1694"/>
      <c r="BX14" s="1690"/>
    </row>
    <row customHeight="1" ht="19.5">
      <c r="A15" s="1074" t="s">
        <v>1454</v>
      </c>
      <c r="B15" s="1075">
        <v>2013</v>
      </c>
      <c r="E15" s="1698" t="s">
        <v>1455</v>
      </c>
      <c r="G15" s="1067" t="s">
        <v>1456</v>
      </c>
      <c r="H15" s="1067" t="s">
        <v>1457</v>
      </c>
      <c r="I15" s="1078" t="s">
        <v>157</v>
      </c>
      <c r="J15" s="1089" t="s">
        <v>591</v>
      </c>
      <c r="N15" s="1158" t="s">
        <v>1458</v>
      </c>
      <c r="X15" s="1087"/>
      <c r="AW15" s="1120" t="s">
        <v>156</v>
      </c>
      <c r="AX15" s="1120" t="s">
        <v>156</v>
      </c>
      <c r="AZ15" s="1120" t="s">
        <v>1377</v>
      </c>
      <c r="BB15" s="1120" t="s">
        <v>1459</v>
      </c>
      <c r="BC15" s="1120" t="s">
        <v>1443</v>
      </c>
      <c r="BE15" s="1120">
        <v>2013</v>
      </c>
      <c r="BH15" s="1068" t="s">
        <v>1382</v>
      </c>
      <c r="BJ15" s="1217" t="s">
        <v>1460</v>
      </c>
      <c r="BL15" s="1217" t="s">
        <v>1460</v>
      </c>
      <c r="BN15" s="1068" t="s">
        <v>1461</v>
      </c>
      <c r="BR15" s="1070"/>
      <c r="BS15" s="1431"/>
      <c r="BT15" s="1070"/>
      <c r="BU15" s="1070"/>
      <c r="BV15" s="1070"/>
      <c r="BW15" s="1694"/>
      <c r="BX15" s="1690"/>
    </row>
    <row customHeight="1" ht="21">
      <c r="A16" s="1870" t="s">
        <v>1462</v>
      </c>
      <c r="B16" s="1075">
        <v>2014</v>
      </c>
      <c r="E16" s="1699" t="s">
        <v>1463</v>
      </c>
      <c r="G16" s="1076" t="s">
        <v>1464</v>
      </c>
      <c r="H16" s="1076" t="s">
        <v>1465</v>
      </c>
      <c r="I16" s="1078" t="s">
        <v>1466</v>
      </c>
      <c r="J16" s="1089" t="s">
        <v>564</v>
      </c>
      <c r="N16" s="1158" t="s">
        <v>1467</v>
      </c>
      <c r="AW16" s="1120" t="s">
        <v>157</v>
      </c>
      <c r="AX16" s="1120" t="s">
        <v>157</v>
      </c>
      <c r="AZ16" s="1120" t="s">
        <v>1393</v>
      </c>
      <c r="BB16" s="1120" t="s">
        <v>1468</v>
      </c>
      <c r="BC16" s="1120" t="s">
        <v>1443</v>
      </c>
      <c r="BE16" s="1120">
        <v>2014</v>
      </c>
      <c r="BH16" s="1068" t="s">
        <v>1398</v>
      </c>
      <c r="BJ16" s="1217" t="s">
        <v>1469</v>
      </c>
      <c r="BL16" s="1217" t="s">
        <v>1469</v>
      </c>
      <c r="BN16" s="1068" t="s">
        <v>1470</v>
      </c>
      <c r="BR16" s="1070"/>
      <c r="BS16" s="1431"/>
      <c r="BT16" s="1070"/>
      <c r="BU16" s="1070"/>
      <c r="BV16" s="1070"/>
      <c r="BW16" s="1694"/>
      <c r="BX16" s="1690"/>
    </row>
    <row customHeight="1" ht="21">
      <c r="A17" s="1074" t="s">
        <v>1471</v>
      </c>
      <c r="B17" s="1075">
        <v>2015</v>
      </c>
      <c r="G17" s="1076" t="s">
        <v>1418</v>
      </c>
      <c r="H17" s="1076" t="s">
        <v>1418</v>
      </c>
      <c r="I17" s="1076" t="s">
        <v>1472</v>
      </c>
      <c r="N17" s="1158" t="s">
        <v>1473</v>
      </c>
      <c r="X17" s="1087"/>
      <c r="AW17" s="1120" t="s">
        <v>1466</v>
      </c>
      <c r="AX17" s="1120" t="s">
        <v>1466</v>
      </c>
      <c r="AZ17" s="1120" t="s">
        <v>1474</v>
      </c>
      <c r="BB17" s="1120" t="s">
        <v>1475</v>
      </c>
      <c r="BC17" s="1120" t="s">
        <v>1326</v>
      </c>
      <c r="BE17" s="1120">
        <v>2015</v>
      </c>
      <c r="BH17" s="1068" t="s">
        <v>1414</v>
      </c>
      <c r="BJ17" s="1217" t="s">
        <v>1476</v>
      </c>
      <c r="BL17" s="1217" t="s">
        <v>1476</v>
      </c>
      <c r="BN17" s="1068" t="s">
        <v>1477</v>
      </c>
      <c r="BR17" s="1067" t="s">
        <v>1269</v>
      </c>
      <c r="BS17" s="1428"/>
      <c r="BU17" s="1067" t="s">
        <v>1478</v>
      </c>
      <c r="BV17" s="1070"/>
      <c r="BW17" s="1690"/>
      <c r="BX17" s="1692" t="s">
        <v>1479</v>
      </c>
      <c r="CA17" s="1067" t="s">
        <v>1480</v>
      </c>
      <c r="CD17" s="1067" t="s">
        <v>1481</v>
      </c>
    </row>
    <row customHeight="1" ht="21">
      <c r="A18" s="1074" t="s">
        <v>1482</v>
      </c>
      <c r="B18" s="1075">
        <v>2016</v>
      </c>
      <c r="E18" s="2005" t="s">
        <v>1483</v>
      </c>
      <c r="I18" s="1076" t="s">
        <v>1484</v>
      </c>
      <c r="N18" s="1158" t="s">
        <v>1485</v>
      </c>
      <c r="X18" s="1087"/>
      <c r="AW18" s="1120" t="s">
        <v>1472</v>
      </c>
      <c r="AX18" s="1120" t="s">
        <v>1472</v>
      </c>
      <c r="BB18" s="1120" t="s">
        <v>1486</v>
      </c>
      <c r="BC18" s="1120" t="s">
        <v>1326</v>
      </c>
      <c r="BE18" s="1120">
        <v>2016</v>
      </c>
      <c r="BH18" s="1068" t="s">
        <v>1428</v>
      </c>
      <c r="BJ18" s="1217" t="s">
        <v>1487</v>
      </c>
      <c r="BL18" s="1217" t="s">
        <v>1487</v>
      </c>
      <c r="BN18" s="1068" t="s">
        <v>1488</v>
      </c>
      <c r="BQ18" s="1432" t="s">
        <v>1299</v>
      </c>
      <c r="BR18" s="1159" t="s">
        <v>1300</v>
      </c>
      <c r="BS18" s="274"/>
      <c r="BT18" s="1432" t="s">
        <v>1489</v>
      </c>
      <c r="BU18" s="1159" t="s">
        <v>1490</v>
      </c>
      <c r="BV18" s="1070"/>
      <c r="BW18" s="1697" t="s">
        <v>1491</v>
      </c>
      <c r="BX18" s="1691" t="s">
        <v>1492</v>
      </c>
      <c r="BZ18" s="1432" t="s">
        <v>1493</v>
      </c>
      <c r="CA18" s="1159" t="s">
        <v>1494</v>
      </c>
      <c r="CC18" s="1432" t="s">
        <v>1495</v>
      </c>
      <c r="CD18" s="1159" t="s">
        <v>1496</v>
      </c>
    </row>
    <row customHeight="1" ht="21">
      <c r="A19" s="1870" t="s">
        <v>1497</v>
      </c>
      <c r="B19" s="1075">
        <v>2017</v>
      </c>
      <c r="E19" s="1074" t="s">
        <v>164</v>
      </c>
      <c r="I19" s="1076" t="s">
        <v>1498</v>
      </c>
      <c r="N19" s="1158" t="s">
        <v>1499</v>
      </c>
      <c r="X19" s="1087"/>
      <c r="AW19" s="1120" t="s">
        <v>1484</v>
      </c>
      <c r="AX19" s="1120" t="s">
        <v>1484</v>
      </c>
      <c r="AZ19" s="1067" t="s">
        <v>1500</v>
      </c>
      <c r="BB19" s="1120" t="s">
        <v>1501</v>
      </c>
      <c r="BC19" s="1120" t="s">
        <v>1326</v>
      </c>
      <c r="BE19" s="1120">
        <v>2017</v>
      </c>
      <c r="BH19" s="1068" t="s">
        <v>1502</v>
      </c>
      <c r="BJ19" s="1217" t="s">
        <v>1503</v>
      </c>
      <c r="BL19" s="1217" t="s">
        <v>1503</v>
      </c>
      <c r="BQ19" s="1281">
        <v>4190064</v>
      </c>
      <c r="BR19" s="1068" t="s">
        <v>1504</v>
      </c>
      <c r="BS19" s="1429"/>
      <c r="BT19" s="1281">
        <v>4189671</v>
      </c>
      <c r="BU19" s="1068" t="s">
        <v>1505</v>
      </c>
      <c r="BV19" s="1070"/>
      <c r="BW19" s="1695">
        <v>4189706</v>
      </c>
      <c r="BX19" s="1693" t="s">
        <v>1506</v>
      </c>
      <c r="BZ19" s="1281">
        <v>4189714</v>
      </c>
      <c r="CA19" s="1068" t="s">
        <v>1507</v>
      </c>
      <c r="CC19" s="1281">
        <v>4189708</v>
      </c>
      <c r="CD19" s="1068" t="s">
        <v>1508</v>
      </c>
    </row>
    <row customHeight="1" ht="21">
      <c r="A20" s="1074" t="s">
        <v>1509</v>
      </c>
      <c r="B20" s="1075">
        <v>2018</v>
      </c>
      <c r="E20" s="1074" t="s">
        <v>1258</v>
      </c>
      <c r="I20" s="1076" t="s">
        <v>1510</v>
      </c>
      <c r="N20" s="1158" t="s">
        <v>1511</v>
      </c>
      <c r="AW20" s="1120" t="s">
        <v>1498</v>
      </c>
      <c r="AX20" s="1120" t="s">
        <v>1498</v>
      </c>
      <c r="AZ20" s="1120" t="s">
        <v>1512</v>
      </c>
      <c r="BB20" s="1120" t="s">
        <v>1513</v>
      </c>
      <c r="BC20" s="1120" t="s">
        <v>1443</v>
      </c>
      <c r="BE20" s="1120">
        <v>2018</v>
      </c>
      <c r="BH20" s="1068" t="s">
        <v>1439</v>
      </c>
      <c r="BJ20" s="1068" t="s">
        <v>1366</v>
      </c>
      <c r="BL20" s="1068" t="s">
        <v>1366</v>
      </c>
      <c r="BQ20" s="1281">
        <v>4190065</v>
      </c>
      <c r="BR20" s="1068" t="s">
        <v>1514</v>
      </c>
      <c r="BS20" s="1429"/>
      <c r="BT20" s="1281">
        <v>4189672</v>
      </c>
      <c r="BU20" s="1068" t="s">
        <v>1515</v>
      </c>
      <c r="BV20" s="1070"/>
      <c r="BW20" s="1695">
        <v>4189705</v>
      </c>
      <c r="BX20" s="1693" t="s">
        <v>1516</v>
      </c>
      <c r="BZ20" s="1281">
        <v>4189713</v>
      </c>
      <c r="CA20" s="1068" t="s">
        <v>1516</v>
      </c>
      <c r="CC20" s="1281">
        <v>4189709</v>
      </c>
      <c r="CD20" s="1068" t="s">
        <v>1517</v>
      </c>
    </row>
    <row customHeight="1" ht="21">
      <c r="A21" s="1074" t="s">
        <v>1518</v>
      </c>
      <c r="B21" s="1075">
        <v>2019</v>
      </c>
      <c r="I21" s="1076" t="s">
        <v>1519</v>
      </c>
      <c r="N21" s="1158" t="s">
        <v>1520</v>
      </c>
      <c r="AW21" s="1120" t="s">
        <v>1510</v>
      </c>
      <c r="AX21" s="1120" t="s">
        <v>1510</v>
      </c>
      <c r="AZ21" s="1120" t="s">
        <v>1521</v>
      </c>
      <c r="BB21" s="1120" t="s">
        <v>1522</v>
      </c>
      <c r="BC21" s="1120" t="s">
        <v>1326</v>
      </c>
      <c r="BE21" s="1120">
        <v>2019</v>
      </c>
      <c r="BH21" s="1068" t="s">
        <v>1446</v>
      </c>
      <c r="BJ21" s="1068" t="s">
        <v>1382</v>
      </c>
      <c r="BL21" s="1068" t="s">
        <v>1382</v>
      </c>
      <c r="BQ21" s="1281">
        <v>4190066</v>
      </c>
      <c r="BR21" s="1068" t="s">
        <v>1523</v>
      </c>
      <c r="BS21" s="1429"/>
      <c r="BT21" s="1281">
        <v>4189673</v>
      </c>
      <c r="BU21" s="1068" t="s">
        <v>1524</v>
      </c>
      <c r="BV21" s="1070"/>
      <c r="BW21" s="1695">
        <v>4189707</v>
      </c>
      <c r="BX21" s="1693" t="s">
        <v>1525</v>
      </c>
      <c r="BZ21" s="1281">
        <v>4189712</v>
      </c>
      <c r="CA21" s="1068" t="s">
        <v>1526</v>
      </c>
      <c r="CC21" s="1281">
        <v>4189710</v>
      </c>
      <c r="CD21" s="1068" t="s">
        <v>1527</v>
      </c>
    </row>
    <row customHeight="1" ht="21">
      <c r="A22" s="1074" t="s">
        <v>1528</v>
      </c>
      <c r="B22" s="1075">
        <v>2020</v>
      </c>
      <c r="N22" s="1158" t="s">
        <v>1529</v>
      </c>
      <c r="AW22" s="1120" t="s">
        <v>1519</v>
      </c>
      <c r="AX22" s="1120" t="s">
        <v>1519</v>
      </c>
      <c r="AZ22" s="1120" t="s">
        <v>1530</v>
      </c>
      <c r="BB22" s="1120" t="s">
        <v>1531</v>
      </c>
      <c r="BC22" s="1120" t="s">
        <v>1326</v>
      </c>
      <c r="BE22" s="1120">
        <v>2020</v>
      </c>
      <c r="BH22" s="1068" t="s">
        <v>1453</v>
      </c>
      <c r="BJ22" s="1068" t="s">
        <v>1398</v>
      </c>
      <c r="BL22" s="1068" t="s">
        <v>1398</v>
      </c>
      <c r="BQ22" s="1281">
        <v>4190067</v>
      </c>
      <c r="BR22" s="1068" t="s">
        <v>1532</v>
      </c>
      <c r="BS22" s="1429"/>
      <c r="BT22" s="1281">
        <v>4189674</v>
      </c>
      <c r="BU22" s="1068" t="s">
        <v>1533</v>
      </c>
      <c r="BV22" s="1070"/>
      <c r="BW22" s="1070"/>
      <c r="CC22" s="1281">
        <v>4189711</v>
      </c>
      <c r="CD22" s="1068" t="s">
        <v>301</v>
      </c>
    </row>
    <row customHeight="1" ht="21">
      <c r="A23" s="1074" t="s">
        <v>1534</v>
      </c>
      <c r="B23" s="1075">
        <v>2021</v>
      </c>
      <c r="AW23" s="1120" t="s">
        <v>1535</v>
      </c>
      <c r="AX23" s="1120" t="s">
        <v>1535</v>
      </c>
      <c r="AZ23" s="1120" t="s">
        <v>1536</v>
      </c>
      <c r="BB23" s="1120" t="s">
        <v>1537</v>
      </c>
      <c r="BC23" s="1120" t="s">
        <v>1236</v>
      </c>
      <c r="BE23" s="1120">
        <v>2021</v>
      </c>
      <c r="BH23" s="1068" t="s">
        <v>1461</v>
      </c>
      <c r="BJ23" s="1068" t="s">
        <v>1414</v>
      </c>
      <c r="BL23" s="1068" t="s">
        <v>1414</v>
      </c>
      <c r="BQ23" s="1281">
        <v>4190068</v>
      </c>
      <c r="BR23" s="1068" t="s">
        <v>1538</v>
      </c>
      <c r="BS23" s="1429"/>
      <c r="BT23" s="1281">
        <v>4189675</v>
      </c>
      <c r="BU23" s="1068" t="s">
        <v>1539</v>
      </c>
      <c r="BV23" s="1070"/>
      <c r="BW23" s="1070"/>
      <c r="CC23" s="1281">
        <v>5110778</v>
      </c>
      <c r="CD23" s="1068" t="s">
        <v>1540</v>
      </c>
    </row>
    <row customHeight="1" ht="21">
      <c r="A24" s="1074" t="s">
        <v>1541</v>
      </c>
      <c r="B24" s="1075">
        <v>2022</v>
      </c>
      <c r="AW24" s="1120" t="s">
        <v>1542</v>
      </c>
      <c r="AX24" s="1120" t="s">
        <v>1542</v>
      </c>
      <c r="AZ24" s="1120" t="s">
        <v>1543</v>
      </c>
      <c r="BB24" s="1120" t="s">
        <v>1544</v>
      </c>
      <c r="BC24" s="1120" t="s">
        <v>1545</v>
      </c>
      <c r="BE24" s="1120">
        <v>2022</v>
      </c>
      <c r="BH24" s="1068" t="s">
        <v>1470</v>
      </c>
      <c r="BJ24" s="1068" t="s">
        <v>1428</v>
      </c>
      <c r="BL24" s="1068" t="s">
        <v>1428</v>
      </c>
      <c r="BQ24" s="1281">
        <v>4190069</v>
      </c>
      <c r="BR24" s="1068" t="s">
        <v>1546</v>
      </c>
      <c r="BS24" s="1429"/>
      <c r="BT24" s="1281">
        <v>4189676</v>
      </c>
      <c r="BU24" s="1068" t="s">
        <v>1547</v>
      </c>
      <c r="BV24" s="1070"/>
      <c r="BW24" s="1070"/>
      <c r="CC24" s="1281">
        <v>25575374</v>
      </c>
      <c r="CD24" s="1068" t="s">
        <v>1548</v>
      </c>
    </row>
    <row customHeight="1" ht="11.25">
      <c r="A25" s="1074" t="s">
        <v>1549</v>
      </c>
      <c r="B25" s="1075">
        <v>2023</v>
      </c>
      <c r="AW25" s="1120" t="s">
        <v>1550</v>
      </c>
      <c r="AX25" s="1120" t="s">
        <v>1550</v>
      </c>
      <c r="AZ25" s="1120" t="s">
        <v>1551</v>
      </c>
      <c r="BB25" s="1120" t="s">
        <v>1552</v>
      </c>
      <c r="BC25" s="1120" t="s">
        <v>1545</v>
      </c>
      <c r="BE25" s="1120">
        <v>2023</v>
      </c>
      <c r="BH25" s="1068" t="s">
        <v>1477</v>
      </c>
      <c r="BJ25" s="1068" t="s">
        <v>1502</v>
      </c>
      <c r="BL25" s="1068" t="s">
        <v>1502</v>
      </c>
      <c r="BQ25" s="1281">
        <v>4190070</v>
      </c>
      <c r="BR25" s="1068" t="s">
        <v>1553</v>
      </c>
      <c r="BS25" s="1429"/>
      <c r="BT25" s="1281">
        <v>4189677</v>
      </c>
      <c r="BU25" s="1068" t="s">
        <v>1554</v>
      </c>
      <c r="BV25" s="1070"/>
      <c r="BW25" s="1070"/>
    </row>
    <row customHeight="1" ht="11.25">
      <c r="A26" s="1074" t="s">
        <v>1555</v>
      </c>
      <c r="B26" s="1075">
        <v>2024</v>
      </c>
      <c r="J26" s="1731" t="s">
        <v>1556</v>
      </c>
      <c r="AX26" s="1120" t="s">
        <v>1557</v>
      </c>
      <c r="AZ26" s="1120" t="s">
        <v>1421</v>
      </c>
      <c r="BB26" s="1120" t="s">
        <v>1558</v>
      </c>
      <c r="BC26" s="1120" t="s">
        <v>1545</v>
      </c>
      <c r="BE26" s="1120">
        <v>2024</v>
      </c>
      <c r="BH26" s="1068" t="s">
        <v>1488</v>
      </c>
      <c r="BJ26" s="1068" t="s">
        <v>1439</v>
      </c>
      <c r="BL26" s="1068" t="s">
        <v>1439</v>
      </c>
      <c r="BQ26" s="1281">
        <v>4190071</v>
      </c>
      <c r="BR26" s="1068" t="s">
        <v>1559</v>
      </c>
      <c r="BS26" s="1429"/>
      <c r="BV26" s="1070"/>
      <c r="BW26" s="1070"/>
    </row>
    <row customHeight="1" ht="11.25">
      <c r="A27" s="1074" t="s">
        <v>1560</v>
      </c>
      <c r="B27" s="1075">
        <v>2025</v>
      </c>
      <c r="J27" s="176" t="s">
        <v>453</v>
      </c>
      <c r="AX27" s="1120" t="s">
        <v>1561</v>
      </c>
      <c r="BB27" s="1120" t="s">
        <v>1562</v>
      </c>
      <c r="BC27" s="1120" t="s">
        <v>1545</v>
      </c>
      <c r="BE27" s="1120">
        <v>2025</v>
      </c>
      <c r="BH27" s="1070" t="s">
        <v>28</v>
      </c>
      <c r="BJ27" s="1068" t="s">
        <v>1446</v>
      </c>
      <c r="BL27" s="1068" t="s">
        <v>1446</v>
      </c>
      <c r="BN27" s="1070" t="s">
        <v>28</v>
      </c>
      <c r="BQ27" s="1281">
        <v>4190072</v>
      </c>
      <c r="BR27" s="1068" t="s">
        <v>1563</v>
      </c>
      <c r="BS27" s="1429"/>
      <c r="BV27" s="1070"/>
      <c r="BW27" s="1070"/>
    </row>
    <row customHeight="1" ht="11.25">
      <c r="A28" s="1074" t="s">
        <v>1564</v>
      </c>
      <c r="D28" s="1101"/>
      <c r="E28" s="1102"/>
      <c r="F28" s="1102"/>
      <c r="H28" s="1103" t="s">
        <v>1565</v>
      </c>
      <c r="AX28" s="1120" t="s">
        <v>1566</v>
      </c>
      <c r="AZ28" s="1067" t="s">
        <v>1567</v>
      </c>
      <c r="BB28" s="1120" t="s">
        <v>1568</v>
      </c>
      <c r="BC28" s="1120" t="s">
        <v>1569</v>
      </c>
      <c r="BE28" s="1120">
        <v>2026</v>
      </c>
      <c r="BH28" s="1070" t="s">
        <v>28</v>
      </c>
      <c r="BJ28" s="1068" t="s">
        <v>1453</v>
      </c>
      <c r="BL28" s="1068" t="s">
        <v>1453</v>
      </c>
      <c r="BN28" s="1070" t="s">
        <v>28</v>
      </c>
      <c r="BQ28" s="1281">
        <v>4190073</v>
      </c>
      <c r="BR28" s="1068" t="s">
        <v>1570</v>
      </c>
      <c r="BS28" s="1429"/>
      <c r="BV28" s="1070"/>
      <c r="BW28" s="1070"/>
    </row>
    <row customHeight="1" ht="11.25">
      <c r="A29" s="1074" t="s">
        <v>1571</v>
      </c>
      <c r="D29" s="1104" t="s">
        <v>1572</v>
      </c>
      <c r="E29" s="1105" t="str">
        <f>IF(TEMPLATE_GROUP="","",INDEX(StartDateList,MATCH(TEMPLATE_GROUP,CodeTemplateList,0),1))</f>
        <v>01.01.2024</v>
      </c>
      <c r="F29" s="1105" t="str">
        <f>IF(TEMPLATE_GROUP="","",INDEX(EndDateList,MATCH(TEMPLATE_GROUP,CodeTemplateList,0),1))</f>
        <v>31.12.2028</v>
      </c>
      <c r="H29" s="1106" t="s">
        <v>1573</v>
      </c>
      <c r="AX29" s="1120" t="s">
        <v>1574</v>
      </c>
      <c r="AZ29" s="1120" t="s">
        <v>1221</v>
      </c>
      <c r="BB29" s="1120" t="s">
        <v>1421</v>
      </c>
      <c r="BC29" s="1091"/>
      <c r="BE29" s="1120">
        <v>2027</v>
      </c>
      <c r="BJ29" s="1068" t="s">
        <v>1461</v>
      </c>
      <c r="BL29" s="1068" t="s">
        <v>1461</v>
      </c>
    </row>
    <row customHeight="1" ht="11.25">
      <c r="A30" s="1074" t="s">
        <v>1575</v>
      </c>
      <c r="D30" s="1107"/>
      <c r="E30" s="1108"/>
      <c r="F30" s="1108"/>
      <c r="AX30" s="1120" t="s">
        <v>1576</v>
      </c>
      <c r="AZ30" s="1120" t="s">
        <v>1247</v>
      </c>
      <c r="BE30" s="1120">
        <v>2028</v>
      </c>
      <c r="BJ30" s="1068" t="s">
        <v>1577</v>
      </c>
      <c r="BL30" s="1068" t="s">
        <v>1577</v>
      </c>
    </row>
    <row customHeight="1" ht="12.75">
      <c r="A31" s="1074" t="s">
        <v>1578</v>
      </c>
      <c r="D31" s="1101"/>
      <c r="E31" s="1102"/>
      <c r="F31" s="1102"/>
      <c r="H31" s="1109"/>
      <c r="AX31" s="1120" t="s">
        <v>1579</v>
      </c>
      <c r="AZ31" s="1120" t="s">
        <v>1580</v>
      </c>
      <c r="BE31" s="1120">
        <v>2029</v>
      </c>
      <c r="BJ31" s="1068" t="s">
        <v>1581</v>
      </c>
      <c r="BL31" s="1068" t="s">
        <v>1581</v>
      </c>
    </row>
    <row customHeight="1" ht="11.25">
      <c r="A32" s="1074" t="s">
        <v>1582</v>
      </c>
      <c r="D32" s="1104" t="s">
        <v>1583</v>
      </c>
      <c r="E32" s="1105" t="str">
        <f>IF(TEMPLATE_GROUP="","",INDEX(StartDateList,MATCH(TEMPLATE_GROUP,CodeTemplateList,0),1))</f>
        <v>01.01.2024</v>
      </c>
      <c r="F32" s="1105" t="str">
        <f>IF(TEMPLATE_GROUP="","",INDEX(EndDateList,MATCH(TEMPLATE_GROUP,CodeTemplateList,0),1))</f>
        <v>31.12.2028</v>
      </c>
      <c r="H32" s="1110" t="s">
        <v>1584</v>
      </c>
      <c r="O32" s="1074" t="s">
        <v>457</v>
      </c>
      <c r="AX32" s="1120" t="s">
        <v>1585</v>
      </c>
      <c r="AZ32" s="1120" t="s">
        <v>456</v>
      </c>
      <c r="BE32" s="1120">
        <v>2030</v>
      </c>
      <c r="BJ32" s="1068" t="s">
        <v>1470</v>
      </c>
      <c r="BL32" s="1068" t="s">
        <v>1470</v>
      </c>
    </row>
    <row customHeight="1" ht="11.25">
      <c r="A33" s="1074" t="s">
        <v>16</v>
      </c>
      <c r="O33" s="1074" t="s">
        <v>1245</v>
      </c>
      <c r="AX33" s="1120" t="s">
        <v>1586</v>
      </c>
      <c r="AZ33" s="1120" t="s">
        <v>455</v>
      </c>
      <c r="BE33" s="1120">
        <v>2031</v>
      </c>
      <c r="BJ33" s="1068" t="s">
        <v>1477</v>
      </c>
      <c r="BL33" s="1068" t="s">
        <v>1477</v>
      </c>
    </row>
    <row customHeight="1" ht="11.25">
      <c r="A34" s="1074" t="s">
        <v>1587</v>
      </c>
      <c r="O34" s="1074" t="s">
        <v>1280</v>
      </c>
      <c r="AX34" s="1120" t="s">
        <v>1588</v>
      </c>
      <c r="BE34" s="1120">
        <v>2032</v>
      </c>
      <c r="BJ34" s="1068" t="s">
        <v>1488</v>
      </c>
      <c r="BL34" s="1068" t="s">
        <v>1488</v>
      </c>
    </row>
    <row customHeight="1" ht="11.25">
      <c r="A35" s="1074" t="s">
        <v>1589</v>
      </c>
      <c r="O35" s="1074" t="s">
        <v>1313</v>
      </c>
      <c r="AX35" s="1120" t="s">
        <v>1590</v>
      </c>
      <c r="AZ35" s="1067" t="s">
        <v>1591</v>
      </c>
      <c r="BE35" s="1120">
        <v>2033</v>
      </c>
      <c r="BL35" s="1068" t="s">
        <v>1592</v>
      </c>
    </row>
    <row customHeight="1" ht="11.25">
      <c r="A36" s="1870" t="s">
        <v>1593</v>
      </c>
      <c r="D36" s="1111" t="s">
        <v>1594</v>
      </c>
      <c r="E36" s="1112" t="s">
        <v>815</v>
      </c>
      <c r="F36" s="1113" t="str">
        <f>INDEX(E37:E41,MATCH(TEMPLATE_SPHERE,F37:F41,0))</f>
        <v>теплоснабжения</v>
      </c>
      <c r="G36" s="1113" t="str">
        <f>INDEX(G37:G41,MATCH(TEMPLATE_SPHERE,F37:F41,0))</f>
        <v>теплоснабжение</v>
      </c>
      <c r="O36" s="1074" t="s">
        <v>1337</v>
      </c>
      <c r="AX36" s="1120" t="s">
        <v>1595</v>
      </c>
      <c r="AZ36" s="1120" t="s">
        <v>455</v>
      </c>
      <c r="BE36" s="1120">
        <v>2034</v>
      </c>
      <c r="BL36" s="1068" t="s">
        <v>1596</v>
      </c>
    </row>
    <row customHeight="1" ht="11.25">
      <c r="A37" s="1074" t="s">
        <v>1597</v>
      </c>
      <c r="E37" s="407" t="s">
        <v>1598</v>
      </c>
      <c r="F37" s="1114" t="s">
        <v>815</v>
      </c>
      <c r="G37" s="407" t="s">
        <v>1599</v>
      </c>
      <c r="O37" s="1074" t="s">
        <v>1356</v>
      </c>
      <c r="AX37" s="1120" t="s">
        <v>1600</v>
      </c>
      <c r="AZ37" s="1120" t="s">
        <v>1246</v>
      </c>
      <c r="BE37" s="1120">
        <v>2035</v>
      </c>
    </row>
    <row customHeight="1" ht="11.25">
      <c r="A38" s="1074" t="s">
        <v>1601</v>
      </c>
      <c r="E38" s="407" t="s">
        <v>1602</v>
      </c>
      <c r="F38" s="1115" t="s">
        <v>861</v>
      </c>
      <c r="G38" s="407" t="s">
        <v>1603</v>
      </c>
      <c r="O38" s="1074" t="s">
        <v>1373</v>
      </c>
      <c r="AX38" s="1120" t="s">
        <v>1604</v>
      </c>
      <c r="AZ38" s="1120" t="s">
        <v>1281</v>
      </c>
      <c r="BE38" s="1120">
        <v>2036</v>
      </c>
      <c r="BH38" s="1067" t="s">
        <v>1605</v>
      </c>
      <c r="BJ38" s="1067" t="s">
        <v>1606</v>
      </c>
      <c r="BL38" s="1067" t="s">
        <v>1607</v>
      </c>
      <c r="BN38" s="1067" t="s">
        <v>1608</v>
      </c>
    </row>
    <row customHeight="1" ht="11.25">
      <c r="A39" s="1074" t="s">
        <v>1609</v>
      </c>
      <c r="E39" s="407" t="s">
        <v>1610</v>
      </c>
      <c r="F39" s="1115" t="s">
        <v>914</v>
      </c>
      <c r="G39" s="407" t="s">
        <v>1611</v>
      </c>
      <c r="O39" s="1074" t="s">
        <v>1389</v>
      </c>
      <c r="AX39" s="1120" t="s">
        <v>1612</v>
      </c>
      <c r="AZ39" s="1120" t="s">
        <v>1314</v>
      </c>
      <c r="BE39" s="1120">
        <v>2037</v>
      </c>
      <c r="BH39" s="1068" t="s">
        <v>1613</v>
      </c>
      <c r="BJ39" s="1217" t="s">
        <v>1613</v>
      </c>
      <c r="BL39" s="1217" t="s">
        <v>1613</v>
      </c>
      <c r="BN39" s="1068" t="s">
        <v>1614</v>
      </c>
    </row>
    <row customHeight="1" ht="11.25">
      <c r="A40" s="1074" t="s">
        <v>1615</v>
      </c>
      <c r="E40" s="407" t="s">
        <v>1616</v>
      </c>
      <c r="F40" s="1115" t="s">
        <v>901</v>
      </c>
      <c r="G40" s="407" t="s">
        <v>1617</v>
      </c>
      <c r="O40" s="1074" t="s">
        <v>1405</v>
      </c>
      <c r="AX40" s="1120" t="s">
        <v>1618</v>
      </c>
      <c r="BE40" s="1120">
        <v>2038</v>
      </c>
      <c r="BH40" s="1068" t="s">
        <v>1619</v>
      </c>
      <c r="BJ40" s="1217" t="s">
        <v>1034</v>
      </c>
      <c r="BL40" s="1217" t="s">
        <v>1034</v>
      </c>
      <c r="BN40" s="1068" t="s">
        <v>1068</v>
      </c>
    </row>
    <row customHeight="1" ht="11.25">
      <c r="A41" s="1074" t="s">
        <v>1620</v>
      </c>
      <c r="E41" s="407" t="s">
        <v>1621</v>
      </c>
      <c r="F41" s="1115" t="s">
        <v>1622</v>
      </c>
      <c r="G41" s="407" t="s">
        <v>1621</v>
      </c>
      <c r="O41" s="1074" t="s">
        <v>1421</v>
      </c>
      <c r="AX41" s="1120" t="s">
        <v>1623</v>
      </c>
      <c r="AZ41" s="1067" t="s">
        <v>1624</v>
      </c>
      <c r="BE41" s="1120">
        <v>2039</v>
      </c>
      <c r="BH41" s="1068" t="s">
        <v>1625</v>
      </c>
      <c r="BJ41" s="1217" t="s">
        <v>1030</v>
      </c>
      <c r="BL41" s="1217" t="s">
        <v>1030</v>
      </c>
      <c r="BN41" s="1068" t="s">
        <v>1055</v>
      </c>
    </row>
    <row customHeight="1" ht="11.25">
      <c r="A42" s="1074" t="s">
        <v>1626</v>
      </c>
      <c r="AX42" s="1120" t="s">
        <v>1627</v>
      </c>
      <c r="AZ42" s="1120" t="s">
        <v>457</v>
      </c>
      <c r="BE42" s="1120">
        <v>2040</v>
      </c>
      <c r="BH42" s="1068" t="s">
        <v>1052</v>
      </c>
      <c r="BJ42" s="1217" t="s">
        <v>1032</v>
      </c>
      <c r="BL42" s="1217" t="s">
        <v>1032</v>
      </c>
      <c r="BN42" s="1068" t="s">
        <v>1628</v>
      </c>
    </row>
    <row customHeight="1" ht="11.25">
      <c r="A43" s="1074" t="s">
        <v>1629</v>
      </c>
      <c r="AX43" s="1120" t="s">
        <v>1630</v>
      </c>
      <c r="AZ43" s="1120" t="s">
        <v>1245</v>
      </c>
      <c r="BE43" s="1120">
        <v>2041</v>
      </c>
      <c r="BH43" s="1068" t="s">
        <v>1631</v>
      </c>
      <c r="BJ43" s="1217" t="s">
        <v>1625</v>
      </c>
      <c r="BL43" s="1217" t="s">
        <v>1625</v>
      </c>
      <c r="BN43" s="1068" t="s">
        <v>1632</v>
      </c>
    </row>
    <row customHeight="1" ht="11.25">
      <c r="A44" s="1074" t="s">
        <v>1633</v>
      </c>
      <c r="G44" s="1094">
        <f>YEAR(TODAY())</f>
        <v>2025</v>
      </c>
      <c r="I44" s="799" t="s">
        <v>1634</v>
      </c>
      <c r="J44" s="1089" t="s">
        <v>1635</v>
      </c>
      <c r="K44" s="1089" t="s">
        <v>1636</v>
      </c>
      <c r="AX44" s="1120" t="s">
        <v>1637</v>
      </c>
      <c r="AZ44" s="1120" t="s">
        <v>1280</v>
      </c>
      <c r="BE44" s="1120">
        <v>2042</v>
      </c>
      <c r="BH44" s="1068" t="s">
        <v>1638</v>
      </c>
      <c r="BJ44" s="1217" t="s">
        <v>1052</v>
      </c>
      <c r="BL44" s="1217" t="s">
        <v>1052</v>
      </c>
      <c r="BN44" s="1068" t="s">
        <v>1639</v>
      </c>
    </row>
    <row customHeight="1" ht="11.25">
      <c r="A45" s="1074" t="s">
        <v>1640</v>
      </c>
      <c r="D45" s="1111" t="s">
        <v>1641</v>
      </c>
      <c r="E45" s="1112" t="s">
        <v>1642</v>
      </c>
      <c r="F45" s="797" t="s">
        <v>1643</v>
      </c>
      <c r="G45" s="796" t="s">
        <v>1644</v>
      </c>
      <c r="H45" s="799" t="s">
        <v>1645</v>
      </c>
      <c r="I45" s="1741">
        <f>INDEX(PeriodIsEmptyList,MATCH(TEMPLATE_GROUP,CodeTemplateList,0),1)</f>
        <v>0</v>
      </c>
      <c r="J45" s="1744" t="str">
        <f>INDEX(NameTemplatesInTitleList,MATCH(TEMPLATE_GROUP,CodeTemplateList,0),1)</f>
        <v>Показатели, подлежащие раскрытию в сфере теплоснабжения (цены и тарифы)</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1646</v>
      </c>
      <c r="AZ45" s="1120" t="s">
        <v>1313</v>
      </c>
      <c r="BE45" s="1120">
        <v>2043</v>
      </c>
      <c r="BH45" s="1068" t="s">
        <v>1647</v>
      </c>
      <c r="BJ45" s="1217" t="s">
        <v>1046</v>
      </c>
      <c r="BL45" s="1217" t="s">
        <v>1046</v>
      </c>
      <c r="BN45" s="1068" t="s">
        <v>1648</v>
      </c>
    </row>
    <row customHeight="1" ht="11.25">
      <c r="A46" s="1074" t="s">
        <v>1649</v>
      </c>
      <c r="E46" s="407" t="s">
        <v>26</v>
      </c>
      <c r="F46" s="1114" t="s">
        <v>1650</v>
      </c>
      <c r="G46" s="1116" t="str">
        <f>_xlfn.IFERROR(IF(TITLE_DATE_FIL="","01.01."&amp;CURRENT_YEAR,"01.01."&amp;YEAR(TITLE_DATE_FIL)),"01.01."&amp;CURRENT_YEAR)</f>
        <v>01.01.2025</v>
      </c>
      <c r="H46" s="1116" t="str">
        <f>_xlfn.IFERROR(IF(TITLE_DATE_FIL="","31.12."&amp;CURRENT_YEAR,"31.12."&amp;YEAR(TITLE_DATE_FIL)),"31.12."&amp;CURRENT_YEAR)</f>
        <v>31.12.2025</v>
      </c>
      <c r="I46" s="1742">
        <f>IF(TITLE_DATE_FIL="",TRUE,FALSE)</f>
        <v>1</v>
      </c>
      <c r="J46" s="1745" t="str">
        <f>"Общая информация о регулируемой организации ("&amp;TEMPLATE_SPHERE_RUS&amp;")"</f>
        <v>Общая информация о регулируемой организации (теплоснабжения)</v>
      </c>
      <c r="K46" s="1746"/>
      <c r="AX46" s="1120" t="s">
        <v>1651</v>
      </c>
      <c r="AZ46" s="1120" t="s">
        <v>1337</v>
      </c>
      <c r="BE46" s="1120">
        <v>2044</v>
      </c>
      <c r="BH46" s="1068" t="s">
        <v>1055</v>
      </c>
      <c r="BJ46" s="1217" t="s">
        <v>1036</v>
      </c>
      <c r="BL46" s="1217" t="s">
        <v>1036</v>
      </c>
      <c r="BN46" s="1068" t="s">
        <v>1652</v>
      </c>
    </row>
    <row customHeight="1" ht="11.25">
      <c r="A47" s="1074" t="s">
        <v>1653</v>
      </c>
      <c r="E47" s="407" t="s">
        <v>33</v>
      </c>
      <c r="F47" s="1115" t="s">
        <v>1654</v>
      </c>
      <c r="G47" s="1116" t="str">
        <f>_xlfn.IFERROR(IF(f_year="","01.01."&amp;CURRENT_YEAR,IF(LEN(f_quart)=0,"01.01."&amp;f_year,IF(f_quart="I квартал","01.01."&amp;f_year,IF(f_quart="II квартал","01.04."&amp;f_year,(IF(f_quart="III квартал","01.07."&amp;f_year,"01.10."&amp;f_year)))))),"01.01."&amp;CURRENT_YEAR)</f>
        <v>01.01.2025</v>
      </c>
      <c r="H47" s="1116" t="str">
        <f>_xlfn.IFERROR(IF(f_year="","31.12."&amp;CURRENT_YEAR,IF(LEN(f_quart)=0,"31.12."&amp;f_year,IF(f_quart="I квартал","31.03."&amp;f_year,IF(f_quart="II квартал","30.06."&amp;f_year,(IF(f_quart="III квартал","30.09."&amp;f_year,"31.12."&amp;f_year)))))),"31.12."&amp;CURRENT_YEAR)</f>
        <v>31.12.2025</v>
      </c>
      <c r="I47" s="1743">
        <f>IF(OR(f_year="",f_quart=""),TRUE,FALSE)</f>
        <v>1</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6"/>
      <c r="AX47" s="1120" t="s">
        <v>1655</v>
      </c>
      <c r="AZ47" s="1120" t="s">
        <v>1356</v>
      </c>
      <c r="BE47" s="1120">
        <v>2045</v>
      </c>
      <c r="BH47" s="1068" t="s">
        <v>1628</v>
      </c>
      <c r="BJ47" s="1217" t="s">
        <v>1038</v>
      </c>
      <c r="BL47" s="1217" t="s">
        <v>1038</v>
      </c>
      <c r="BN47" s="1068" t="s">
        <v>1656</v>
      </c>
    </row>
    <row customHeight="1" ht="11.25">
      <c r="A48" s="1074" t="s">
        <v>1657</v>
      </c>
      <c r="E48" s="407" t="s">
        <v>1658</v>
      </c>
      <c r="F48" s="1115" t="s">
        <v>1659</v>
      </c>
      <c r="G48" s="1116" t="str">
        <f>_xlfn.IFERROR(IF(f_year="","01.01."&amp;CURRENT_YEAR,"01.01."&amp;f_year),"01.01."&amp;CURRENT_YEAR)</f>
        <v>01.01.2025</v>
      </c>
      <c r="H48" s="1116" t="str">
        <f>_xlfn.IFERROR(IF(f_year="","31.12."&amp;CURRENT_YEAR,"31.12."&amp;f_year),"31.12."&amp;CURRENT_YEAR)</f>
        <v>31.12.2025</v>
      </c>
      <c r="I48" s="1742">
        <f>IF(f_year="",TRUE,FALSE)</f>
        <v>1</v>
      </c>
      <c r="J48" s="1745" t="s">
        <v>1660</v>
      </c>
      <c r="K48" s="1746"/>
      <c r="AX48" s="1120" t="s">
        <v>1661</v>
      </c>
      <c r="AZ48" s="1120" t="s">
        <v>1373</v>
      </c>
      <c r="BE48" s="1120">
        <v>2046</v>
      </c>
      <c r="BH48" s="1068" t="s">
        <v>1632</v>
      </c>
      <c r="BJ48" s="1217" t="s">
        <v>1040</v>
      </c>
      <c r="BL48" s="1217" t="s">
        <v>1040</v>
      </c>
      <c r="BN48" s="1068" t="s">
        <v>1662</v>
      </c>
    </row>
    <row customHeight="1" ht="11.25">
      <c r="A49" s="1074" t="s">
        <v>1663</v>
      </c>
      <c r="E49" s="407" t="s">
        <v>1664</v>
      </c>
      <c r="F49" s="1115" t="s">
        <v>1665</v>
      </c>
      <c r="G49" s="1116" t="str">
        <f>_xlfn.IFERROR(IF(f_year="","01.01."&amp;CURRENT_YEAR,"01.01."&amp;f_year),"01.01."&amp;CURRENT_YEAR)</f>
        <v>01.01.2025</v>
      </c>
      <c r="H49" s="1116" t="str">
        <f>_xlfn.IFERROR(IF(f_year="","31.12."&amp;CURRENT_YEAR,"31.12."&amp;f_year),"31.12."&amp;CURRENT_YEAR)</f>
        <v>31.12.2025</v>
      </c>
      <c r="I49" s="1742">
        <f>IF(f_year="",TRUE,FALSE)</f>
        <v>1</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6"/>
      <c r="AX49" s="1120" t="s">
        <v>1666</v>
      </c>
      <c r="AZ49" s="1120" t="s">
        <v>1389</v>
      </c>
      <c r="BE49" s="1120">
        <v>2047</v>
      </c>
      <c r="BH49" s="1068" t="s">
        <v>1056</v>
      </c>
      <c r="BJ49" s="1217" t="s">
        <v>1042</v>
      </c>
      <c r="BL49" s="1217" t="s">
        <v>1042</v>
      </c>
    </row>
    <row customHeight="1" ht="11.25">
      <c r="A50" s="1074" t="s">
        <v>1667</v>
      </c>
      <c r="E50" s="407" t="s">
        <v>1668</v>
      </c>
      <c r="F50" s="1115" t="s">
        <v>1026</v>
      </c>
      <c r="G50" s="1116" t="str">
        <f>_xlfn.IFERROR(IF(f_year="","01.01."&amp;CURRENT_YEAR,"01.01."&amp;f_year),"01.01."&amp;CURRENT_YEAR)</f>
        <v>01.01.2025</v>
      </c>
      <c r="H50" s="1116" t="str">
        <f>_xlfn.IFERROR(IF(f_year="","31.12."&amp;CURRENT_YEAR,"31.12."&amp;f_year),"31.12."&amp;CURRENT_YEAR)</f>
        <v>31.12.2025</v>
      </c>
      <c r="I50" s="1742">
        <f>IF(f_year="",TRUE,FALSE)</f>
        <v>1</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6"/>
      <c r="AX50" s="1120" t="s">
        <v>41</v>
      </c>
      <c r="AZ50" s="1120" t="s">
        <v>1405</v>
      </c>
      <c r="BE50" s="1120">
        <v>2048</v>
      </c>
      <c r="BH50" s="1068" t="s">
        <v>1639</v>
      </c>
      <c r="BJ50" s="1217" t="s">
        <v>1044</v>
      </c>
      <c r="BL50" s="1217" t="s">
        <v>1044</v>
      </c>
    </row>
    <row customHeight="1" ht="11.25">
      <c r="A51" s="1074" t="s">
        <v>1669</v>
      </c>
      <c r="E51" s="407" t="s">
        <v>1670</v>
      </c>
      <c r="F51" s="1115" t="s">
        <v>1671</v>
      </c>
      <c r="G51" s="1116" t="str">
        <f>_xlfn.IFERROR(IF(TITLE_PERIOD_START="","01.01."&amp;CURRENT_YEAR,"01.01."&amp;YEAR(TITLE_PERIOD_START)),"01.01."&amp;CURRENT_YEAR)</f>
        <v>01.01.2024</v>
      </c>
      <c r="H51" s="1116" t="str">
        <f>_xlfn.IFERROR(IF(TITLE_PERIOD_END="","31.12."&amp;CURRENT_YEAR,"31.12."&amp;YEAR(TITLE_PERIOD_END)),"31.12."&amp;CURRENT_YEAR)</f>
        <v>31.12.2028</v>
      </c>
      <c r="I51" s="1743">
        <f>IF(OR(TITLE_PERIOD_START="",TITLE_PERIOD_END=""),TRUE,FALSE)</f>
        <v>0</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1672</v>
      </c>
      <c r="AZ51" s="1120" t="s">
        <v>1421</v>
      </c>
      <c r="BE51" s="1120">
        <v>2049</v>
      </c>
      <c r="BH51" s="1068" t="s">
        <v>1648</v>
      </c>
      <c r="BJ51" s="1217" t="s">
        <v>1673</v>
      </c>
      <c r="BL51" s="1217" t="s">
        <v>1673</v>
      </c>
    </row>
    <row customHeight="1" ht="11.25">
      <c r="A52" s="1074" t="s">
        <v>1674</v>
      </c>
      <c r="E52" s="407" t="s">
        <v>1675</v>
      </c>
      <c r="F52" s="1115" t="s">
        <v>1642</v>
      </c>
      <c r="G52" s="1116" t="str">
        <f>_xlfn.IFERROR(IF(TITLE_PERIOD_START="","01.01."&amp;CURRENT_YEAR,"01.01."&amp;YEAR(TITLE_PERIOD_START)),"01.01."&amp;CURRENT_YEAR)</f>
        <v>01.01.2024</v>
      </c>
      <c r="H52" s="1116" t="str">
        <f>_xlfn.IFERROR(IF(TITLE_PERIOD_END="","31.12."&amp;CURRENT_YEAR,"31.12."&amp;YEAR(TITLE_PERIOD_END)),"31.12."&amp;CURRENT_YEAR)</f>
        <v>31.12.2028</v>
      </c>
      <c r="I52" s="1743">
        <f>IF(OR(TITLE_PERIOD_START="",TITLE_PERIOD_END=""),TRUE,FALSE)</f>
        <v>0</v>
      </c>
      <c r="J52" s="1745" t="str">
        <f>"Показатели, подлежащие раскрытию в сфере "&amp;TEMPLATE_SPHERE_RUS&amp;" (цены и тарифы)"</f>
        <v>Показатели, подлежащие раскрытию в сфере теплоснабжения (цены и тарифы)</v>
      </c>
      <c r="K52" s="1746"/>
      <c r="AX52" s="1120" t="s">
        <v>1676</v>
      </c>
      <c r="AZ52" s="1120" t="s">
        <v>455</v>
      </c>
      <c r="BE52" s="1120">
        <v>2050</v>
      </c>
      <c r="BH52" s="1068" t="s">
        <v>1652</v>
      </c>
      <c r="BJ52" s="1217" t="s">
        <v>1055</v>
      </c>
      <c r="BL52" s="1217" t="s">
        <v>1055</v>
      </c>
    </row>
    <row customHeight="1" ht="11.25">
      <c r="A53" s="1074" t="s">
        <v>1677</v>
      </c>
      <c r="E53" s="407" t="s">
        <v>1678</v>
      </c>
      <c r="F53" s="1115" t="s">
        <v>1678</v>
      </c>
      <c r="G53" s="1116" t="str">
        <f>_xlfn.IFERROR(IF(f_year="","01.01."&amp;CURRENT_YEAR,"01.01."&amp;f_year),"01.01."&amp;CURRENT_YEAR)</f>
        <v>01.01.2025</v>
      </c>
      <c r="H53" s="1116" t="str">
        <f>_xlfn.IFERROR(IF(f_year="","31.12."&amp;CURRENT_YEAR,"31.12."&amp;f_year),"31.12."&amp;CURRENT_YEAR)</f>
        <v>31.12.2025</v>
      </c>
      <c r="I53" s="1742">
        <f>IF(AND(f_year="",TITLE_DATE_FIL=""),TRUE,FALSE)</f>
        <v>1</v>
      </c>
      <c r="J53" s="1745" t="s">
        <v>1679</v>
      </c>
      <c r="K53" s="1746"/>
      <c r="AX53" s="1120" t="s">
        <v>1680</v>
      </c>
      <c r="BE53" s="1120">
        <v>2051</v>
      </c>
      <c r="BH53" s="1068" t="s">
        <v>1656</v>
      </c>
      <c r="BJ53" s="1217" t="s">
        <v>1628</v>
      </c>
      <c r="BL53" s="1217" t="s">
        <v>1628</v>
      </c>
    </row>
    <row customHeight="1" ht="11.25">
      <c r="A54" s="1074" t="s">
        <v>1681</v>
      </c>
      <c r="AX54" s="1120" t="s">
        <v>1682</v>
      </c>
      <c r="AZ54" s="1067" t="s">
        <v>1683</v>
      </c>
      <c r="BE54" s="1120">
        <v>2052</v>
      </c>
      <c r="BH54" s="1068" t="s">
        <v>1662</v>
      </c>
      <c r="BJ54" s="1217" t="s">
        <v>1632</v>
      </c>
      <c r="BL54" s="1217" t="s">
        <v>1632</v>
      </c>
    </row>
    <row customHeight="1" ht="11.25">
      <c r="A55" s="1074" t="s">
        <v>1684</v>
      </c>
      <c r="AX55" s="1120" t="s">
        <v>1685</v>
      </c>
      <c r="AZ55" s="1120" t="s">
        <v>1222</v>
      </c>
      <c r="BE55" s="1120">
        <v>2053</v>
      </c>
      <c r="BH55" s="1070" t="s">
        <v>28</v>
      </c>
      <c r="BJ55" s="1217" t="s">
        <v>1056</v>
      </c>
      <c r="BL55" s="1217" t="s">
        <v>1056</v>
      </c>
    </row>
    <row customHeight="1" ht="11.25">
      <c r="A56" s="1074" t="s">
        <v>1686</v>
      </c>
      <c r="D56" s="1118" t="s">
        <v>1687</v>
      </c>
      <c r="E56" s="1095" t="s">
        <v>115</v>
      </c>
      <c r="F56" s="1074" t="s">
        <v>1688</v>
      </c>
      <c r="AX56" s="1120" t="s">
        <v>1689</v>
      </c>
      <c r="AZ56" s="1120" t="s">
        <v>1248</v>
      </c>
      <c r="BE56" s="1120">
        <v>2054</v>
      </c>
      <c r="BH56" s="1070" t="s">
        <v>28</v>
      </c>
      <c r="BJ56" s="1217" t="s">
        <v>1639</v>
      </c>
      <c r="BL56" s="1217" t="s">
        <v>1639</v>
      </c>
    </row>
    <row customHeight="1" ht="11.25">
      <c r="A57" s="1074" t="s">
        <v>1690</v>
      </c>
      <c r="D57" s="1118" t="s">
        <v>1691</v>
      </c>
      <c r="E57" s="1095" t="s">
        <v>115</v>
      </c>
      <c r="F57" s="1074" t="s">
        <v>1688</v>
      </c>
      <c r="AX57" s="1120" t="s">
        <v>1692</v>
      </c>
      <c r="AZ57" s="1120" t="s">
        <v>1283</v>
      </c>
      <c r="BE57" s="1120">
        <v>2055</v>
      </c>
      <c r="BJ57" s="1217" t="s">
        <v>1648</v>
      </c>
      <c r="BL57" s="1217" t="s">
        <v>1648</v>
      </c>
    </row>
    <row customHeight="1" ht="11.25">
      <c r="A58" s="1074" t="s">
        <v>1693</v>
      </c>
      <c r="D58" s="1118" t="s">
        <v>1694</v>
      </c>
      <c r="E58" s="1095" t="s">
        <v>115</v>
      </c>
      <c r="F58" s="1074" t="s">
        <v>1688</v>
      </c>
      <c r="AX58" s="1120" t="s">
        <v>1695</v>
      </c>
      <c r="BE58" s="1120">
        <v>2056</v>
      </c>
      <c r="BJ58" s="1217" t="s">
        <v>1652</v>
      </c>
      <c r="BL58" s="1217" t="s">
        <v>1652</v>
      </c>
    </row>
    <row customHeight="1" ht="11.25">
      <c r="A59" s="1074" t="s">
        <v>1696</v>
      </c>
      <c r="D59" s="1118" t="s">
        <v>135</v>
      </c>
      <c r="E59" s="1095" t="s">
        <v>1585</v>
      </c>
      <c r="F59" s="1074" t="s">
        <v>1697</v>
      </c>
      <c r="AX59" s="1120" t="s">
        <v>1698</v>
      </c>
      <c r="AZ59" s="1067" t="s">
        <v>1699</v>
      </c>
      <c r="BE59" s="1120">
        <v>2057</v>
      </c>
      <c r="BJ59" s="1217" t="s">
        <v>1656</v>
      </c>
      <c r="BL59" s="1217" t="s">
        <v>1656</v>
      </c>
    </row>
    <row customHeight="1" ht="11.25">
      <c r="A60" s="1074" t="s">
        <v>1700</v>
      </c>
      <c r="D60" s="1118" t="s">
        <v>1701</v>
      </c>
      <c r="E60" s="1095" t="s">
        <v>1585</v>
      </c>
      <c r="F60" s="1074" t="s">
        <v>1697</v>
      </c>
      <c r="AX60" s="1120" t="s">
        <v>1702</v>
      </c>
      <c r="AZ60" s="1120" t="s">
        <v>1223</v>
      </c>
      <c r="BE60" s="1120">
        <v>2058</v>
      </c>
      <c r="BJ60" s="1217" t="s">
        <v>1662</v>
      </c>
      <c r="BL60" s="1217" t="s">
        <v>1662</v>
      </c>
    </row>
    <row customHeight="1" ht="11.25">
      <c r="A61" s="1074" t="s">
        <v>1703</v>
      </c>
      <c r="D61" s="1118" t="s">
        <v>1704</v>
      </c>
      <c r="E61" s="1095" t="s">
        <v>1585</v>
      </c>
      <c r="F61" s="1074" t="s">
        <v>1697</v>
      </c>
      <c r="AX61" s="1120" t="s">
        <v>1705</v>
      </c>
      <c r="AZ61" s="1120" t="s">
        <v>1249</v>
      </c>
      <c r="BE61" s="1120">
        <v>2059</v>
      </c>
      <c r="BL61" s="1217" t="s">
        <v>1048</v>
      </c>
    </row>
    <row customHeight="1" ht="11.25">
      <c r="A62" s="1074" t="s">
        <v>1706</v>
      </c>
      <c r="D62" s="1118" t="s">
        <v>134</v>
      </c>
      <c r="E62" s="1095">
        <v>30</v>
      </c>
      <c r="F62" s="1074" t="s">
        <v>1697</v>
      </c>
      <c r="AZ62" s="1120" t="s">
        <v>1284</v>
      </c>
      <c r="BE62" s="1120">
        <v>2060</v>
      </c>
      <c r="BL62" s="1217" t="s">
        <v>1050</v>
      </c>
    </row>
    <row customHeight="1" ht="11.25">
      <c r="A63" s="1074" t="s">
        <v>1707</v>
      </c>
      <c r="D63" s="1118" t="s">
        <v>1708</v>
      </c>
      <c r="E63" s="1095">
        <v>30</v>
      </c>
      <c r="F63" s="1074" t="s">
        <v>1697</v>
      </c>
      <c r="AZ63" s="1120" t="s">
        <v>1315</v>
      </c>
      <c r="BE63" s="1120">
        <v>2061</v>
      </c>
    </row>
    <row customHeight="1" ht="11.25">
      <c r="A64" s="1074" t="s">
        <v>1709</v>
      </c>
      <c r="D64" s="1118" t="s">
        <v>1710</v>
      </c>
      <c r="E64" s="1095">
        <v>30</v>
      </c>
      <c r="F64" s="1074" t="s">
        <v>1697</v>
      </c>
      <c r="AZ64" s="1120" t="s">
        <v>1338</v>
      </c>
      <c r="BE64" s="1120">
        <v>2062</v>
      </c>
    </row>
    <row customHeight="1" ht="11.25">
      <c r="A65" s="1074" t="s">
        <v>1711</v>
      </c>
      <c r="D65" s="1074"/>
      <c r="BE65" s="1120">
        <v>2063</v>
      </c>
    </row>
    <row customHeight="1" ht="11.25">
      <c r="A66" s="1074" t="s">
        <v>1712</v>
      </c>
      <c r="AZ66" s="1067" t="s">
        <v>1713</v>
      </c>
      <c r="BE66" s="1120">
        <v>2064</v>
      </c>
    </row>
    <row customHeight="1" ht="11.25">
      <c r="A67" s="1074" t="s">
        <v>1714</v>
      </c>
      <c r="AZ67" s="1120" t="s">
        <v>1224</v>
      </c>
      <c r="BE67" s="1120">
        <v>2065</v>
      </c>
    </row>
    <row customHeight="1" ht="11.25">
      <c r="A68" s="1074" t="s">
        <v>1715</v>
      </c>
      <c r="AZ68" s="1120" t="s">
        <v>1250</v>
      </c>
      <c r="BE68" s="1120">
        <v>2066</v>
      </c>
      <c r="BH68" s="1067" t="s">
        <v>1716</v>
      </c>
      <c r="BJ68" s="1067" t="s">
        <v>1717</v>
      </c>
      <c r="BL68" s="1067" t="s">
        <v>1718</v>
      </c>
      <c r="BN68" s="1067" t="s">
        <v>1719</v>
      </c>
    </row>
    <row customHeight="1" ht="11.25">
      <c r="A69" s="1074" t="s">
        <v>1720</v>
      </c>
      <c r="AZ69" s="1120" t="s">
        <v>1285</v>
      </c>
      <c r="BE69" s="1120">
        <v>2067</v>
      </c>
      <c r="BH69" s="1068" t="s">
        <v>1721</v>
      </c>
      <c r="BI69" s="1117" t="s">
        <v>113</v>
      </c>
      <c r="BJ69" s="1068" t="s">
        <v>1722</v>
      </c>
      <c r="BK69" s="1117" t="s">
        <v>113</v>
      </c>
      <c r="BL69" s="1068" t="s">
        <v>1723</v>
      </c>
      <c r="BM69" s="1070" t="s">
        <v>113</v>
      </c>
      <c r="BN69" s="1068" t="s">
        <v>1724</v>
      </c>
    </row>
    <row customHeight="1" ht="11.25">
      <c r="A70" s="1074" t="s">
        <v>1725</v>
      </c>
      <c r="AZ70" s="1120" t="s">
        <v>1316</v>
      </c>
      <c r="BE70" s="1120">
        <v>2068</v>
      </c>
      <c r="BH70" s="1068" t="s">
        <v>1726</v>
      </c>
      <c r="BJ70" s="1068" t="s">
        <v>1727</v>
      </c>
      <c r="BL70" s="1068" t="s">
        <v>1728</v>
      </c>
      <c r="BN70" s="1068" t="s">
        <v>1729</v>
      </c>
    </row>
    <row customHeight="1" ht="11.25">
      <c r="A71" s="1074" t="s">
        <v>1730</v>
      </c>
      <c r="AZ71" s="1120" t="s">
        <v>1318</v>
      </c>
      <c r="BE71" s="1120">
        <v>2069</v>
      </c>
      <c r="BH71" s="1068" t="s">
        <v>1731</v>
      </c>
      <c r="BI71" s="1117" t="s">
        <v>94</v>
      </c>
      <c r="BJ71" s="1068" t="s">
        <v>1732</v>
      </c>
      <c r="BK71" s="1117" t="s">
        <v>94</v>
      </c>
      <c r="BL71" s="1068" t="s">
        <v>1733</v>
      </c>
      <c r="BM71" s="1070" t="s">
        <v>94</v>
      </c>
      <c r="BN71" s="1068" t="s">
        <v>1734</v>
      </c>
    </row>
    <row customHeight="1" ht="11.25">
      <c r="A72" s="1074" t="s">
        <v>1735</v>
      </c>
      <c r="AZ72" s="1120" t="s">
        <v>19</v>
      </c>
      <c r="BE72" s="1120">
        <v>2070</v>
      </c>
      <c r="BH72" s="1068" t="s">
        <v>1736</v>
      </c>
      <c r="BJ72" s="1068" t="s">
        <v>1736</v>
      </c>
      <c r="BL72" s="1068" t="s">
        <v>1736</v>
      </c>
      <c r="BN72" s="1068" t="s">
        <v>1737</v>
      </c>
    </row>
    <row customHeight="1" ht="11.25">
      <c r="A73" s="1074" t="s">
        <v>1738</v>
      </c>
      <c r="BH73" s="1068" t="s">
        <v>1739</v>
      </c>
      <c r="BI73" s="1117" t="s">
        <v>115</v>
      </c>
      <c r="BJ73" s="1068" t="s">
        <v>1740</v>
      </c>
      <c r="BK73" s="1117" t="s">
        <v>115</v>
      </c>
      <c r="BL73" s="1068" t="s">
        <v>1741</v>
      </c>
      <c r="BM73" s="1070" t="s">
        <v>115</v>
      </c>
      <c r="BN73" s="1068" t="s">
        <v>1742</v>
      </c>
    </row>
    <row customHeight="1" ht="11.25">
      <c r="A74" s="1074" t="s">
        <v>1743</v>
      </c>
      <c r="BH74" s="1068" t="s">
        <v>1744</v>
      </c>
      <c r="BJ74" s="1068" t="s">
        <v>1745</v>
      </c>
      <c r="BL74" s="1068" t="s">
        <v>1746</v>
      </c>
      <c r="BN74" s="1068" t="s">
        <v>1747</v>
      </c>
    </row>
    <row customHeight="1" ht="11.25">
      <c r="A75" s="1074" t="s">
        <v>1748</v>
      </c>
      <c r="AZ75" s="1067" t="s">
        <v>1749</v>
      </c>
      <c r="BH75" s="1068" t="s">
        <v>1750</v>
      </c>
      <c r="BJ75" s="1068" t="s">
        <v>1750</v>
      </c>
      <c r="BL75" s="1068" t="s">
        <v>1750</v>
      </c>
    </row>
    <row customHeight="1" ht="11.25">
      <c r="A76" s="1074" t="s">
        <v>1751</v>
      </c>
      <c r="AZ76" s="1120" t="s">
        <v>1233</v>
      </c>
      <c r="BH76" s="1068" t="s">
        <v>1752</v>
      </c>
      <c r="BJ76" s="1068" t="s">
        <v>1753</v>
      </c>
      <c r="BL76" s="1068" t="s">
        <v>1754</v>
      </c>
    </row>
    <row customHeight="1" ht="11.25">
      <c r="A77" s="1074" t="s">
        <v>1755</v>
      </c>
      <c r="AZ77" s="1120" t="s">
        <v>1260</v>
      </c>
    </row>
    <row customHeight="1" ht="11.25">
      <c r="A78" s="1074" t="s">
        <v>1756</v>
      </c>
      <c r="AZ78" s="1120" t="s">
        <v>1292</v>
      </c>
    </row>
    <row customHeight="1" ht="11.25">
      <c r="A79" s="1074" t="s">
        <v>1757</v>
      </c>
      <c r="AZ79" s="1120" t="s">
        <v>1322</v>
      </c>
      <c r="BH79" s="1067" t="s">
        <v>1758</v>
      </c>
      <c r="BJ79" s="1067" t="s">
        <v>1759</v>
      </c>
      <c r="BL79" s="1067" t="s">
        <v>1760</v>
      </c>
    </row>
    <row customHeight="1" ht="11.25">
      <c r="A80" s="1074" t="s">
        <v>1761</v>
      </c>
      <c r="AZ80" s="1120" t="s">
        <v>1343</v>
      </c>
      <c r="BH80" s="1068" t="s">
        <v>1762</v>
      </c>
      <c r="BJ80" s="1068" t="s">
        <v>1763</v>
      </c>
      <c r="BL80" s="1068" t="s">
        <v>1764</v>
      </c>
    </row>
    <row customHeight="1" ht="11.25">
      <c r="A81" s="1074" t="s">
        <v>1765</v>
      </c>
      <c r="AZ81" s="1120" t="s">
        <v>1360</v>
      </c>
      <c r="BH81" s="1068" t="s">
        <v>1766</v>
      </c>
      <c r="BJ81" s="1068" t="s">
        <v>1767</v>
      </c>
      <c r="BL81" s="1068" t="s">
        <v>1768</v>
      </c>
    </row>
    <row customHeight="1" ht="11.25">
      <c r="A82" s="1074" t="s">
        <v>1769</v>
      </c>
      <c r="AZ82" s="1120" t="s">
        <v>1375</v>
      </c>
      <c r="BH82" s="1068" t="s">
        <v>1770</v>
      </c>
      <c r="BJ82" s="1068" t="s">
        <v>1771</v>
      </c>
      <c r="BL82" s="1068" t="s">
        <v>1772</v>
      </c>
    </row>
    <row customHeight="1" ht="11.25">
      <c r="A83" s="1074" t="s">
        <v>1773</v>
      </c>
      <c r="BH83" s="1068" t="s">
        <v>1774</v>
      </c>
      <c r="BJ83" s="1068" t="s">
        <v>1775</v>
      </c>
      <c r="BL83" s="1068" t="s">
        <v>1776</v>
      </c>
    </row>
    <row customHeight="1" ht="11.25">
      <c r="A84" s="1074" t="s">
        <v>1777</v>
      </c>
      <c r="AZ84" s="1067" t="s">
        <v>1778</v>
      </c>
    </row>
    <row customHeight="1" ht="11.25">
      <c r="A85" s="1870" t="s">
        <v>1779</v>
      </c>
      <c r="AZ85" s="1120" t="s">
        <v>1780</v>
      </c>
    </row>
    <row customHeight="1" ht="11.25">
      <c r="A86" s="1074" t="s">
        <v>1781</v>
      </c>
      <c r="AZ86" s="1120" t="s">
        <v>1782</v>
      </c>
      <c r="BH86" s="1067" t="s">
        <v>1783</v>
      </c>
      <c r="BJ86" s="1067" t="s">
        <v>1784</v>
      </c>
      <c r="BL86" s="1067" t="s">
        <v>1785</v>
      </c>
    </row>
    <row customHeight="1" ht="11.25">
      <c r="A87" s="1074" t="s">
        <v>1786</v>
      </c>
      <c r="AZ87" s="1120" t="s">
        <v>1787</v>
      </c>
      <c r="BH87" s="1068" t="s">
        <v>1788</v>
      </c>
      <c r="BJ87" s="1068" t="s">
        <v>1789</v>
      </c>
      <c r="BL87" s="1068" t="s">
        <v>1790</v>
      </c>
    </row>
    <row customHeight="1" ht="11.25">
      <c r="A88" s="1074" t="s">
        <v>1791</v>
      </c>
      <c r="AZ88" s="1606"/>
      <c r="BH88" s="1068" t="s">
        <v>1792</v>
      </c>
      <c r="BJ88" s="1068" t="s">
        <v>1793</v>
      </c>
      <c r="BL88" s="1068" t="s">
        <v>1794</v>
      </c>
    </row>
    <row customHeight="1" ht="11.25">
      <c r="A89" s="1074" t="s">
        <v>1795</v>
      </c>
      <c r="AZ89" s="1067" t="s">
        <v>1796</v>
      </c>
    </row>
    <row customHeight="1" ht="11.25">
      <c r="A90" s="1074" t="s">
        <v>1797</v>
      </c>
      <c r="AZ90" s="1120" t="s">
        <v>1026</v>
      </c>
    </row>
    <row customHeight="1" ht="11.25">
      <c r="A91" s="1074" t="s">
        <v>1798</v>
      </c>
      <c r="AZ91" s="1120" t="s">
        <v>1062</v>
      </c>
      <c r="BH91" s="1067" t="s">
        <v>1799</v>
      </c>
      <c r="BJ91" s="1067" t="s">
        <v>1800</v>
      </c>
      <c r="BL91" s="1067" t="s">
        <v>1801</v>
      </c>
    </row>
    <row customHeight="1" ht="11.25">
      <c r="AZ92" s="1120" t="s">
        <v>1802</v>
      </c>
      <c r="BH92" s="1068" t="s">
        <v>1803</v>
      </c>
      <c r="BJ92" s="1068" t="s">
        <v>1804</v>
      </c>
      <c r="BL92" s="1068" t="s">
        <v>1805</v>
      </c>
    </row>
    <row customHeight="1" ht="11.25">
      <c r="AZ93" s="1120" t="s">
        <v>1806</v>
      </c>
      <c r="BH93" s="1068" t="s">
        <v>1807</v>
      </c>
      <c r="BJ93" s="1068" t="s">
        <v>1808</v>
      </c>
      <c r="BL93" s="1068" t="s">
        <v>1809</v>
      </c>
    </row>
    <row customHeight="1" ht="11.25">
      <c r="AZ94" s="1120" t="s">
        <v>1810</v>
      </c>
    </row>
    <row r="96" customHeight="1" ht="11.25">
      <c r="AZ96" s="1067" t="s">
        <v>1811</v>
      </c>
      <c r="BH96" s="1067" t="s">
        <v>1812</v>
      </c>
      <c r="BJ96" s="1067" t="s">
        <v>1813</v>
      </c>
      <c r="BL96" s="1067" t="s">
        <v>1814</v>
      </c>
      <c r="BN96" s="1067" t="s">
        <v>1815</v>
      </c>
    </row>
    <row customHeight="1" ht="11.25">
      <c r="AZ97" s="1901" t="s">
        <v>1816</v>
      </c>
      <c r="BA97" s="1902" t="s">
        <v>1817</v>
      </c>
      <c r="BH97" s="1068" t="s">
        <v>1818</v>
      </c>
      <c r="BJ97" s="1068" t="s">
        <v>1819</v>
      </c>
      <c r="BL97" s="1068" t="s">
        <v>1820</v>
      </c>
      <c r="BN97" s="1068" t="s">
        <v>1821</v>
      </c>
    </row>
    <row customHeight="1" ht="11.25">
      <c r="AZ98" s="1901" t="s">
        <v>1822</v>
      </c>
      <c r="BA98" s="1902" t="s">
        <v>1823</v>
      </c>
      <c r="BH98" s="1068" t="s">
        <v>1824</v>
      </c>
      <c r="BJ98" s="1068" t="s">
        <v>1825</v>
      </c>
      <c r="BL98" s="1068" t="s">
        <v>1826</v>
      </c>
      <c r="BN98" s="1068" t="s">
        <v>1827</v>
      </c>
    </row>
    <row customHeight="1" ht="22.5">
      <c r="AZ99" s="1901" t="s">
        <v>1828</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1829</v>
      </c>
      <c r="BJ99" s="1068" t="s">
        <v>1830</v>
      </c>
      <c r="BL99" s="1068" t="s">
        <v>1831</v>
      </c>
      <c r="BN99" s="1068" t="s">
        <v>1832</v>
      </c>
    </row>
    <row customHeight="1" ht="22.5">
      <c r="AZ100" s="1901" t="s">
        <v>1833</v>
      </c>
      <c r="BA100"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8" t="s">
        <v>1421</v>
      </c>
      <c r="BL100" s="1068" t="s">
        <v>1421</v>
      </c>
      <c r="BN100" s="1068" t="s">
        <v>1834</v>
      </c>
    </row>
    <row customHeight="1" ht="22.5">
      <c r="AZ101" s="1901" t="s">
        <v>1835</v>
      </c>
      <c r="BA101" s="1902" t="s">
        <v>1836</v>
      </c>
      <c r="BN101" s="1068" t="s">
        <v>1837</v>
      </c>
    </row>
    <row customHeight="1" ht="22.5">
      <c r="AZ102" s="1901" t="s">
        <v>1838</v>
      </c>
      <c r="BA102"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8" t="s">
        <v>1839</v>
      </c>
    </row>
    <row customHeight="1" ht="11.25">
      <c r="AZ103" s="1901" t="s">
        <v>1840</v>
      </c>
      <c r="BA103" s="1902" t="s">
        <v>1841</v>
      </c>
      <c r="BN103" s="1068" t="s">
        <v>1842</v>
      </c>
    </row>
    <row customHeight="1" ht="11.25">
      <c r="BN104" s="1068" t="s">
        <v>1843</v>
      </c>
    </row>
    <row customHeight="1" ht="11.25">
      <c r="AZ105" s="1692" t="s">
        <v>1844</v>
      </c>
    </row>
    <row customHeight="1" ht="11.25">
      <c r="AZ106" s="1120" t="s">
        <v>1845</v>
      </c>
    </row>
    <row customHeight="1" ht="11.25">
      <c r="AZ107" s="1120" t="s">
        <v>1846</v>
      </c>
      <c r="BH107" s="1067" t="s">
        <v>1847</v>
      </c>
      <c r="BJ107" s="1067" t="s">
        <v>1848</v>
      </c>
      <c r="BL107" s="1067" t="s">
        <v>1849</v>
      </c>
      <c r="BN107" s="1067" t="s">
        <v>1850</v>
      </c>
    </row>
    <row customHeight="1" ht="11.25">
      <c r="AZ108" s="1120" t="s">
        <v>579</v>
      </c>
      <c r="BH108" s="1068" t="s">
        <v>1851</v>
      </c>
      <c r="BJ108" s="1068" t="s">
        <v>1852</v>
      </c>
      <c r="BL108" s="1068" t="s">
        <v>1507</v>
      </c>
      <c r="BN108" s="1068" t="s">
        <v>1853</v>
      </c>
    </row>
    <row customHeight="1" ht="11.25">
      <c r="BH109" s="1068" t="s">
        <v>1854</v>
      </c>
    </row>
    <row customHeight="1" ht="11.25">
      <c r="AZ110" s="1692" t="s">
        <v>1855</v>
      </c>
      <c r="BH110" s="1068" t="s">
        <v>1854</v>
      </c>
    </row>
    <row customHeight="1" ht="11.25">
      <c r="AZ111" s="1901" t="s">
        <v>1816</v>
      </c>
      <c r="BA111" s="1902" t="s">
        <v>1817</v>
      </c>
    </row>
    <row customHeight="1" ht="11.25">
      <c r="AZ112" s="1901" t="s">
        <v>1822</v>
      </c>
      <c r="BA112" s="1902" t="s">
        <v>1823</v>
      </c>
    </row>
    <row customHeight="1" ht="22.5">
      <c r="AZ113" s="1901" t="s">
        <v>1828</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1833</v>
      </c>
      <c r="BA114"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7" t="s">
        <v>1856</v>
      </c>
    </row>
    <row customHeight="1" ht="22.5">
      <c r="AZ115" s="1901" t="s">
        <v>1838</v>
      </c>
      <c r="BA115"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8" t="s">
        <v>455</v>
      </c>
    </row>
    <row customHeight="1" ht="11.25">
      <c r="AZ116" s="1901" t="s">
        <v>1840</v>
      </c>
      <c r="BA116" s="1902" t="s">
        <v>1841</v>
      </c>
      <c r="BH116" s="1068" t="s">
        <v>1246</v>
      </c>
    </row>
    <row customHeight="1" ht="11.25">
      <c r="BH117" s="1068" t="s">
        <v>1281</v>
      </c>
    </row>
    <row customHeight="1" ht="11.25">
      <c r="BH118" s="1068" t="s">
        <v>1314</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8F190F-CE38-3538-DA0A-3EB25FF8DEFA}"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307</v>
      </c>
      <c r="J1" s="455" t="s">
        <v>14</v>
      </c>
    </row>
    <row customHeight="1" ht="22.5" hidden="1">
      <c r="A2" s="502"/>
      <c r="B2" s="502"/>
      <c r="C2" s="1730" t="s">
        <v>453</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39"/>
      <c r="F5" s="2240"/>
      <c r="I5" s="715"/>
      <c r="J5" s="455">
        <v>26</v>
      </c>
    </row>
    <row customHeight="1" ht="18">
      <c r="D6" s="2176" t="str">
        <f>IF(region_name=0,"Не определено",region_name)</f>
        <v>Курская область</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308</v>
      </c>
      <c r="E9" s="2205"/>
      <c r="F9" s="2205"/>
      <c r="G9" s="2208" t="s">
        <v>309</v>
      </c>
      <c r="J9" s="455">
        <v>11</v>
      </c>
    </row>
    <row customHeight="1" ht="11.549999999999999">
      <c r="A10" s="502"/>
      <c r="B10" s="502"/>
      <c r="C10" s="457"/>
      <c r="D10" s="1474" t="s">
        <v>92</v>
      </c>
      <c r="E10" s="1476" t="s">
        <v>310</v>
      </c>
      <c r="F10" s="1476" t="s">
        <v>311</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8" t="str">
        <f>IF(org="","",org)</f>
        <v>ООО "Энерго-Сервис"</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3"/>
      <c r="J12" s="455">
        <v>23</v>
      </c>
    </row>
    <row customHeight="1" ht="19.95">
      <c r="A13" s="502"/>
      <c r="B13" s="502"/>
      <c r="C13" s="457"/>
      <c r="D13" s="1520">
        <v>2</v>
      </c>
      <c r="E13" s="1527" t="s">
        <v>1857</v>
      </c>
      <c r="F13" s="1521" t="s">
        <v>314</v>
      </c>
      <c r="G13" s="474"/>
      <c r="H13" s="1533"/>
      <c r="J13" s="455">
        <v>19</v>
      </c>
    </row>
    <row customHeight="1" ht="19.95">
      <c r="A14" s="502"/>
      <c r="B14" s="502"/>
      <c r="C14" s="457"/>
      <c r="D14" s="1523" t="s">
        <v>716</v>
      </c>
      <c r="E14" s="1524" t="s">
        <v>1858</v>
      </c>
      <c r="F14" s="1526"/>
      <c r="G14" s="1525" t="s">
        <v>1859</v>
      </c>
      <c r="H14" s="1533"/>
      <c r="J14" s="455">
        <v>19</v>
      </c>
    </row>
    <row customHeight="1" ht="19.95">
      <c r="A15" s="502"/>
      <c r="B15" s="502"/>
      <c r="C15" s="457"/>
      <c r="D15" s="1523" t="s">
        <v>315</v>
      </c>
      <c r="E15" s="1524" t="s">
        <v>1860</v>
      </c>
      <c r="F15" s="1526"/>
      <c r="G15" s="1525" t="s">
        <v>1861</v>
      </c>
      <c r="H15" s="1533"/>
      <c r="J15" s="455">
        <v>19</v>
      </c>
    </row>
    <row customHeight="1" ht="24">
      <c r="A16" s="502"/>
      <c r="B16" s="502"/>
      <c r="C16" s="457"/>
      <c r="D16" s="1523" t="s">
        <v>318</v>
      </c>
      <c r="E16" s="1522" t="s">
        <v>1862</v>
      </c>
      <c r="F16" s="1531"/>
      <c r="G16" s="474" t="s">
        <v>1863</v>
      </c>
      <c r="H16" s="1533"/>
      <c r="J16" s="455">
        <v>23</v>
      </c>
    </row>
    <row customHeight="1" ht="48.29999999999999">
      <c r="A17" s="502"/>
      <c r="B17" s="502"/>
      <c r="C17" s="457"/>
      <c r="D17" s="1520">
        <v>3</v>
      </c>
      <c r="E17" s="1527" t="s">
        <v>1864</v>
      </c>
      <c r="F17" s="1526"/>
      <c r="G17" s="474" t="s">
        <v>1865</v>
      </c>
      <c r="H17" s="1533"/>
      <c r="J17" s="455">
        <v>46</v>
      </c>
    </row>
    <row customHeight="1" ht="48.29999999999999">
      <c r="A18" s="1475">
        <v>1</v>
      </c>
      <c r="B18" s="502"/>
      <c r="C18" s="1477"/>
      <c r="D18" s="1520" t="s">
        <v>95</v>
      </c>
      <c r="E18" s="1527" t="s">
        <v>1866</v>
      </c>
      <c r="F18" s="1526"/>
      <c r="G18" s="474" t="s">
        <v>1865</v>
      </c>
      <c r="H18" s="1533"/>
      <c r="I18" s="852"/>
      <c r="J18" s="455">
        <v>46</v>
      </c>
    </row>
    <row customHeight="1" ht="23.25">
      <c r="A19" s="502"/>
      <c r="B19" s="502"/>
      <c r="C19" s="457"/>
      <c r="D19" s="1520" t="s">
        <v>115</v>
      </c>
      <c r="E19" s="1527" t="s">
        <v>1867</v>
      </c>
      <c r="F19" s="1521" t="s">
        <v>314</v>
      </c>
      <c r="G19" s="2471" t="s">
        <v>1868</v>
      </c>
      <c r="H19" s="475"/>
      <c r="J19" s="455">
        <v>22</v>
      </c>
    </row>
    <row s="1530" customFormat="1" customHeight="1" ht="5.25" hidden="1">
      <c r="A20" s="502"/>
      <c r="B20" s="502"/>
      <c r="C20" s="1529"/>
      <c r="D20" s="1528" t="s">
        <v>1123</v>
      </c>
      <c r="E20" s="1014"/>
      <c r="F20" s="1013"/>
      <c r="G20" s="2472"/>
      <c r="J20" s="1530">
        <v>0</v>
      </c>
    </row>
    <row customHeight="1" ht="15.75">
      <c r="A21" s="502"/>
      <c r="B21" s="502"/>
      <c r="C21" s="457"/>
      <c r="D21" s="467"/>
      <c r="E21" s="415" t="s">
        <v>347</v>
      </c>
      <c r="F21" s="469"/>
      <c r="G21" s="2473"/>
      <c r="H21" s="1533"/>
      <c r="J21" s="455">
        <v>15</v>
      </c>
    </row>
    <row s="501" customFormat="1" customHeight="1" ht="26.25">
      <c r="A22" s="502"/>
      <c r="B22" s="502"/>
      <c r="C22" s="502"/>
      <c r="D22" s="1520" t="s">
        <v>96</v>
      </c>
      <c r="E22" s="474" t="s">
        <v>1869</v>
      </c>
      <c r="F22" s="1526"/>
      <c r="G22" s="474" t="s">
        <v>1870</v>
      </c>
      <c r="H22" s="1532"/>
      <c r="J22" s="501">
        <v>25</v>
      </c>
    </row>
    <row s="501" customFormat="1" customHeight="1" ht="19.95">
      <c r="A23" s="502"/>
      <c r="B23" s="502"/>
      <c r="C23" s="502"/>
      <c r="D23" s="1520" t="s">
        <v>97</v>
      </c>
      <c r="E23" s="1527" t="s">
        <v>1871</v>
      </c>
      <c r="F23" s="1531"/>
      <c r="G23" s="474" t="s">
        <v>1872</v>
      </c>
      <c r="H23" s="1532"/>
      <c r="J23" s="501">
        <v>19</v>
      </c>
    </row>
    <row s="501" customFormat="1" customHeight="1" ht="144" hidden="1">
      <c r="A24" s="502"/>
      <c r="B24" s="502"/>
      <c r="C24" s="502"/>
      <c r="D24" s="1520" t="s">
        <v>116</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2"/>
      <c r="J24" s="501">
        <v>0</v>
      </c>
    </row>
    <row customHeight="1" ht="11.25" hidden="1">
      <c r="A25" s="501" t="s">
        <v>86</v>
      </c>
      <c r="B25" s="501">
        <v>0</v>
      </c>
      <c r="C25" s="455">
        <v>3</v>
      </c>
      <c r="D25" s="456">
        <v>6</v>
      </c>
      <c r="E25" s="455">
        <v>52</v>
      </c>
      <c r="F25" s="455">
        <v>48</v>
      </c>
      <c r="G25" s="455">
        <v>93</v>
      </c>
      <c r="H25" s="455">
        <v>8</v>
      </c>
      <c r="I25" s="455">
        <v>64</v>
      </c>
      <c r="J25" s="455">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50BAD8-6528-E2F8-E4B8-598C67552D6B}"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1873</v>
      </c>
      <c r="G1" s="1631" t="s">
        <v>52</v>
      </c>
      <c r="H1" s="1631" t="s">
        <v>54</v>
      </c>
      <c r="IU1" s="1155" t="s">
        <v>14</v>
      </c>
    </row>
    <row s="1850" customFormat="1" customHeight="1" ht="22.5" hidden="1">
      <c r="A2" s="831"/>
      <c r="B2" s="1160">
        <v>1</v>
      </c>
      <c r="C2" s="1160"/>
      <c r="D2" s="1928" t="s">
        <v>453</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87</v>
      </c>
      <c r="G3" s="494" t="s">
        <v>88</v>
      </c>
      <c r="H3" s="494"/>
      <c r="I3" s="494"/>
      <c r="J3" s="227" t="s">
        <v>89</v>
      </c>
      <c r="K3" s="247" t="s">
        <v>87</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308</v>
      </c>
      <c r="F7" s="2102"/>
      <c r="G7" s="2102"/>
      <c r="H7" s="2102"/>
      <c r="I7" s="2102"/>
      <c r="J7" s="2474" t="s">
        <v>309</v>
      </c>
      <c r="K7" s="500"/>
      <c r="L7" s="500"/>
      <c r="M7" s="500"/>
      <c r="N7" s="500"/>
      <c r="O7" s="226"/>
      <c r="P7" s="500"/>
      <c r="Q7" s="225"/>
      <c r="R7" s="225"/>
      <c r="S7" s="225"/>
      <c r="T7" s="225"/>
      <c r="IU7" s="507">
        <v>14</v>
      </c>
    </row>
    <row s="1819" customFormat="1" customHeight="1" ht="21">
      <c r="A8" s="1155"/>
      <c r="B8" s="1160"/>
      <c r="C8" s="1155"/>
      <c r="D8" s="1495"/>
      <c r="E8" s="1548" t="s">
        <v>92</v>
      </c>
      <c r="F8" s="1540" t="s">
        <v>1873</v>
      </c>
      <c r="G8" s="1540" t="s">
        <v>52</v>
      </c>
      <c r="H8" s="1540" t="s">
        <v>54</v>
      </c>
      <c r="I8" s="1540" t="s">
        <v>1874</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1875</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86</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7C9878-4EA8-5868-5D52-B2C8223BB36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453</v>
      </c>
      <c r="E2" s="1889"/>
      <c r="F2" s="1892" t="str">
        <f>IF(ROIV_INFO_NAME="","",ROIV_INFO_NAME)</f>
        <v>ООО "Энерго-Сервис"</v>
      </c>
      <c r="G2" s="1917" t="s">
        <v>28</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87</v>
      </c>
      <c r="G3" s="1735" t="s">
        <v>88</v>
      </c>
      <c r="H3" s="494"/>
      <c r="I3" s="494"/>
      <c r="J3" s="494"/>
      <c r="K3" s="494"/>
      <c r="L3" s="227" t="s">
        <v>89</v>
      </c>
      <c r="M3" s="247" t="s">
        <v>87</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308</v>
      </c>
      <c r="F7" s="2102"/>
      <c r="G7" s="2102"/>
      <c r="H7" s="2102"/>
      <c r="I7" s="2102"/>
      <c r="J7" s="2102"/>
      <c r="K7" s="2102"/>
      <c r="L7" s="2474" t="s">
        <v>309</v>
      </c>
      <c r="M7" s="500"/>
      <c r="N7" s="500"/>
      <c r="O7" s="500"/>
      <c r="P7" s="500"/>
      <c r="Q7" s="226"/>
      <c r="R7" s="500"/>
      <c r="S7" s="225"/>
      <c r="T7" s="225"/>
      <c r="U7" s="225"/>
      <c r="V7" s="225"/>
      <c r="IW7" s="507">
        <v>14</v>
      </c>
    </row>
    <row s="1819" customFormat="1" customHeight="1" ht="67.2">
      <c r="A8" s="1155"/>
      <c r="B8" s="1160"/>
      <c r="C8" s="1155"/>
      <c r="D8" s="1495"/>
      <c r="E8" s="2478" t="s">
        <v>92</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1876</v>
      </c>
      <c r="H9" s="1537" t="s">
        <v>1877</v>
      </c>
      <c r="I9" s="1537" t="s">
        <v>1878</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ООО "Энерго-Сервис"</v>
      </c>
      <c r="G10" s="1732" t="s">
        <v>28</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1879</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86</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679A18-2D88-7878-2049-BE7F18FF05B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453</v>
      </c>
      <c r="E2" s="1904"/>
      <c r="F2" s="1906" t="str">
        <f>IF(ROIV_INFO_NAME="","",ROIV_INFO_NAME)</f>
        <v>ООО "Энерго-Сервис"</v>
      </c>
      <c r="G2" s="1732" t="s">
        <v>28</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87</v>
      </c>
      <c r="G3" s="1735" t="s">
        <v>88</v>
      </c>
      <c r="H3" s="1893"/>
      <c r="I3" s="1893"/>
      <c r="J3" s="1893"/>
      <c r="K3" s="1893"/>
      <c r="L3" s="227" t="s">
        <v>89</v>
      </c>
      <c r="M3" s="248" t="s">
        <v>87</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308</v>
      </c>
      <c r="F7" s="2102"/>
      <c r="G7" s="2102"/>
      <c r="H7" s="2102"/>
      <c r="I7" s="2102"/>
      <c r="J7" s="2102"/>
      <c r="K7" s="2102"/>
      <c r="L7" s="2474" t="s">
        <v>309</v>
      </c>
      <c r="M7" s="1624"/>
      <c r="N7" s="1624"/>
      <c r="O7" s="1624"/>
      <c r="P7" s="1624"/>
      <c r="Q7" s="1624"/>
      <c r="R7" s="1624"/>
      <c r="S7" s="225"/>
      <c r="T7" s="225"/>
      <c r="U7" s="225"/>
      <c r="V7" s="225"/>
      <c r="IW7" s="1609">
        <v>14</v>
      </c>
    </row>
    <row s="1819" customFormat="1" customHeight="1" ht="67.2">
      <c r="A8" s="1631"/>
      <c r="B8" s="1366"/>
      <c r="C8" s="1631"/>
      <c r="D8" s="1515"/>
      <c r="E8" s="2478" t="s">
        <v>92</v>
      </c>
      <c r="F8" s="2478" t="s">
        <v>1880</v>
      </c>
      <c r="G8" s="2480" t="s">
        <v>1881</v>
      </c>
      <c r="H8" s="2481"/>
      <c r="I8" s="2482"/>
      <c r="J8" s="2478" t="s">
        <v>1882</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1876</v>
      </c>
      <c r="H9" s="1894" t="s">
        <v>1877</v>
      </c>
      <c r="I9" s="1894" t="s">
        <v>1878</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ООО "Энерго-Сервис"</v>
      </c>
      <c r="G10" s="1733" t="s">
        <v>28</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1879</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86</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D08928-5F28-F199-9749-C39E84EDDF7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453</v>
      </c>
      <c r="E2" s="2127">
        <v>1</v>
      </c>
      <c r="F2" s="2303" t="str">
        <f>IF(region_name="","",region_name)</f>
        <v>Курская область</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1883</v>
      </c>
      <c r="L3" s="1543"/>
      <c r="M3" s="1920"/>
      <c r="N3" s="1913"/>
      <c r="O3" s="1535"/>
      <c r="P3" s="511"/>
      <c r="Q3" s="423">
        <v>0</v>
      </c>
    </row>
    <row s="1642" customFormat="1" customHeight="1" ht="5.25" hidden="1">
      <c r="A4" s="496"/>
      <c r="D4" s="494"/>
      <c r="F4" s="247" t="s">
        <v>87</v>
      </c>
      <c r="G4" s="494" t="s">
        <v>88</v>
      </c>
      <c r="H4" s="494"/>
      <c r="I4" s="1923"/>
      <c r="J4" s="1544"/>
      <c r="K4" s="1911"/>
      <c r="L4" s="1911"/>
      <c r="M4" s="1911"/>
      <c r="N4" s="1907"/>
      <c r="O4" s="247" t="s">
        <v>87</v>
      </c>
      <c r="P4" s="247"/>
      <c r="Q4" s="511">
        <v>0</v>
      </c>
    </row>
    <row s="1850" customFormat="1" customHeight="1" ht="22.5" hidden="1">
      <c r="A5" s="1641"/>
      <c r="B5" s="1366">
        <v>1</v>
      </c>
      <c r="C5" s="1366"/>
      <c r="D5" s="801"/>
      <c r="E5" s="1913"/>
      <c r="F5" s="1913"/>
      <c r="G5" s="1913"/>
      <c r="H5" s="1924"/>
      <c r="I5" s="1929" t="s">
        <v>453</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308</v>
      </c>
      <c r="F10" s="2127"/>
      <c r="G10" s="2127"/>
      <c r="H10" s="2127"/>
      <c r="I10" s="2127"/>
      <c r="J10" s="2127"/>
      <c r="K10" s="2127"/>
      <c r="L10" s="2127"/>
      <c r="M10" s="2101"/>
      <c r="N10" s="2478" t="s">
        <v>309</v>
      </c>
      <c r="O10" s="500"/>
      <c r="P10" s="500"/>
      <c r="Q10" s="507">
        <v>14</v>
      </c>
    </row>
    <row s="1819" customFormat="1" customHeight="1" ht="44.25">
      <c r="A11" s="1631"/>
      <c r="B11" s="1366"/>
      <c r="C11" s="1631"/>
      <c r="D11" s="1515"/>
      <c r="E11" s="2492" t="s">
        <v>92</v>
      </c>
      <c r="F11" s="2492" t="s">
        <v>312</v>
      </c>
      <c r="G11" s="2492" t="s">
        <v>1884</v>
      </c>
      <c r="H11" s="2492"/>
      <c r="I11" s="2492" t="s">
        <v>1885</v>
      </c>
      <c r="J11" s="2492"/>
      <c r="K11" s="2492"/>
      <c r="L11" s="2492" t="s">
        <v>1886</v>
      </c>
      <c r="M11" s="2480" t="s">
        <v>1887</v>
      </c>
      <c r="N11" s="2491"/>
      <c r="O11" s="1624"/>
      <c r="P11" s="1624"/>
      <c r="Q11" s="1609">
        <v>42</v>
      </c>
    </row>
    <row s="1819" customFormat="1" customHeight="1" ht="29.25">
      <c r="A12" s="1155"/>
      <c r="B12" s="1160"/>
      <c r="C12" s="1155"/>
      <c r="D12" s="1495"/>
      <c r="E12" s="2478"/>
      <c r="F12" s="2492"/>
      <c r="G12" s="1909" t="s">
        <v>1888</v>
      </c>
      <c r="H12" s="1909" t="s">
        <v>316</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Курская область</v>
      </c>
      <c r="G13" s="2487"/>
      <c r="H13" s="2494"/>
      <c r="I13" s="474"/>
      <c r="J13" s="1905">
        <v>1</v>
      </c>
      <c r="K13" s="1918"/>
      <c r="L13" s="1919"/>
      <c r="M13" s="1919"/>
      <c r="N13" s="2488" t="s">
        <v>1889</v>
      </c>
      <c r="O13" s="1535"/>
      <c r="P13" s="511"/>
      <c r="Q13" s="423">
        <v>22</v>
      </c>
    </row>
    <row s="1850" customFormat="1" customHeight="1" ht="23.25">
      <c r="A14" s="2099"/>
      <c r="B14" s="1160"/>
      <c r="C14" s="1160"/>
      <c r="D14" s="801"/>
      <c r="E14" s="2127"/>
      <c r="F14" s="2486"/>
      <c r="G14" s="2487"/>
      <c r="H14" s="2495"/>
      <c r="I14" s="421"/>
      <c r="J14" s="1500"/>
      <c r="K14" s="1500" t="s">
        <v>1883</v>
      </c>
      <c r="L14" s="1543"/>
      <c r="M14" s="1543"/>
      <c r="N14" s="2489"/>
      <c r="O14" s="1535"/>
      <c r="P14" s="511"/>
      <c r="Q14" s="423">
        <v>22</v>
      </c>
    </row>
    <row s="1850" customFormat="1" customHeight="1" ht="23.25">
      <c r="A15" s="2099"/>
      <c r="B15" s="1160"/>
      <c r="C15" s="412"/>
      <c r="D15" s="801"/>
      <c r="E15" s="421"/>
      <c r="F15" s="1500" t="s">
        <v>1875</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86</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CEC508-A578-FB38-78A8-1EE5E9B4152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1890</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308</v>
      </c>
      <c r="E8" s="2209"/>
      <c r="F8" s="2209"/>
      <c r="G8" s="2209"/>
      <c r="H8" s="2209"/>
      <c r="I8" s="2209" t="s">
        <v>309</v>
      </c>
      <c r="M8" s="121">
        <v>14</v>
      </c>
    </row>
    <row customHeight="1" ht="29.25">
      <c r="D9" s="2209" t="s">
        <v>92</v>
      </c>
      <c r="E9" s="2209" t="s">
        <v>1891</v>
      </c>
      <c r="F9" s="2209"/>
      <c r="G9" s="2209"/>
      <c r="H9" s="2209"/>
      <c r="I9" s="2209"/>
      <c r="M9" s="121">
        <v>28</v>
      </c>
    </row>
    <row customHeight="1" ht="24">
      <c r="D10" s="2209"/>
      <c r="E10" s="127" t="s">
        <v>1892</v>
      </c>
      <c r="F10" s="127" t="s">
        <v>1893</v>
      </c>
      <c r="G10" s="127" t="s">
        <v>1894</v>
      </c>
      <c r="H10" s="127" t="s">
        <v>398</v>
      </c>
      <c r="I10" s="2209"/>
      <c r="M10" s="121">
        <v>23</v>
      </c>
    </row>
    <row customHeight="1" ht="12" hidden="1">
      <c r="D11" s="87" t="s">
        <v>113</v>
      </c>
      <c r="E11" s="87" t="s">
        <v>95</v>
      </c>
      <c r="F11" s="87" t="s">
        <v>115</v>
      </c>
      <c r="G11" s="87" t="s">
        <v>96</v>
      </c>
      <c r="H11" s="87" t="s">
        <v>97</v>
      </c>
      <c r="I11" s="87" t="s">
        <v>116</v>
      </c>
      <c r="M11" s="121">
        <v>0</v>
      </c>
    </row>
    <row s="1823" customFormat="1" customHeight="1" ht="26.25">
      <c r="A12" s="145" t="s">
        <v>94</v>
      </c>
      <c r="B12" s="125" t="s">
        <v>28</v>
      </c>
      <c r="C12" s="126"/>
      <c r="D12" s="128" t="s">
        <v>113</v>
      </c>
      <c r="E12" s="381"/>
      <c r="F12" s="381"/>
      <c r="G12" s="1734" t="s">
        <v>28</v>
      </c>
      <c r="H12" s="382"/>
      <c r="I12" s="2169" t="s">
        <v>1895</v>
      </c>
      <c r="K12" s="272"/>
      <c r="L12" s="273"/>
      <c r="M12" s="117">
        <v>25</v>
      </c>
    </row>
    <row customHeight="1" ht="15.75">
      <c r="A13" s="121"/>
      <c r="B13" s="121"/>
      <c r="C13" s="121"/>
      <c r="D13" s="109"/>
      <c r="E13" s="130" t="s">
        <v>476</v>
      </c>
      <c r="F13" s="129"/>
      <c r="G13" s="129"/>
      <c r="H13" s="214"/>
      <c r="I13" s="2171"/>
      <c r="M13" s="121">
        <v>15</v>
      </c>
    </row>
    <row customHeight="1" ht="3">
      <c r="A14" s="121"/>
      <c r="B14" s="121"/>
      <c r="C14" s="121"/>
      <c r="M14" s="121">
        <v>3</v>
      </c>
    </row>
    <row customHeight="1" ht="29.25">
      <c r="E15" s="2496" t="s">
        <v>1896</v>
      </c>
      <c r="F15" s="2496"/>
      <c r="G15" s="2496"/>
      <c r="H15" s="2496"/>
      <c r="M15" s="121">
        <v>28</v>
      </c>
    </row>
    <row customHeight="1" ht="14.25" hidden="1">
      <c r="A16" s="118" t="s">
        <v>86</v>
      </c>
      <c r="B16" s="119">
        <v>0</v>
      </c>
      <c r="C16" s="120">
        <v>3</v>
      </c>
      <c r="D16" s="121">
        <v>6</v>
      </c>
      <c r="E16" s="121">
        <v>22</v>
      </c>
      <c r="F16" s="121">
        <v>15</v>
      </c>
      <c r="G16" s="121">
        <v>14</v>
      </c>
      <c r="H16" s="121">
        <v>47</v>
      </c>
      <c r="I16" s="121">
        <v>115</v>
      </c>
      <c r="J16" s="121">
        <v>3</v>
      </c>
      <c r="K16" s="121">
        <v>8</v>
      </c>
      <c r="L16" s="121">
        <v>8</v>
      </c>
      <c r="M16" s="121">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512828-5038-F908-8ED8-F73445A7A7B3}"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E12" sqref="E12"/>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1897</v>
      </c>
      <c r="E7" s="2498"/>
      <c r="F7" s="267"/>
      <c r="J7" s="69">
        <v>22</v>
      </c>
    </row>
    <row customHeight="1" ht="3">
      <c r="C8" s="92"/>
      <c r="D8" s="70"/>
      <c r="E8" s="70"/>
      <c r="J8" s="69">
        <v>3</v>
      </c>
    </row>
    <row customHeight="1" ht="16.8">
      <c r="C9" s="92"/>
      <c r="D9" s="105" t="s">
        <v>92</v>
      </c>
      <c r="E9" s="260" t="s">
        <v>1898</v>
      </c>
      <c r="J9" s="69">
        <v>16</v>
      </c>
    </row>
    <row customHeight="1" ht="1.05">
      <c r="C10" s="92"/>
      <c r="D10" s="87"/>
      <c r="E10" s="87"/>
      <c r="J10" s="69">
        <v>1</v>
      </c>
    </row>
    <row customHeight="1" ht="11.25" hidden="1">
      <c r="C11" s="92"/>
      <c r="D11" s="150">
        <v>0</v>
      </c>
      <c r="E11" s="261"/>
      <c r="J11" s="69">
        <v>0</v>
      </c>
    </row>
    <row customHeight="1" ht="15.75">
      <c r="C12" s="136"/>
      <c r="D12" s="113">
        <v>1</v>
      </c>
      <c r="E12" s="377" t="s">
        <v>1899</v>
      </c>
      <c r="J12" s="69">
        <v>15</v>
      </c>
    </row>
    <row customHeight="1" ht="12.75">
      <c r="C13" s="92"/>
      <c r="D13" s="262"/>
      <c r="E13" s="263" t="s">
        <v>1900</v>
      </c>
      <c r="J13" s="69">
        <v>12</v>
      </c>
    </row>
    <row customHeight="1" ht="3">
      <c r="J14" s="69">
        <v>3</v>
      </c>
    </row>
    <row customHeight="1" ht="23.25">
      <c r="C15" s="137"/>
      <c r="D15" s="2499" t="s">
        <v>1901</v>
      </c>
      <c r="E15" s="2499"/>
      <c r="F15" s="138"/>
      <c r="G15" s="138"/>
      <c r="H15" s="138"/>
      <c r="I15" s="138"/>
      <c r="J15" s="69">
        <v>22</v>
      </c>
    </row>
    <row customHeight="1" ht="14.25" hidden="1">
      <c r="A16" s="69" t="s">
        <v>86</v>
      </c>
      <c r="B16" s="69">
        <v>0</v>
      </c>
      <c r="C16" s="91">
        <v>3</v>
      </c>
      <c r="D16" s="69">
        <v>6</v>
      </c>
      <c r="E16" s="69">
        <v>94</v>
      </c>
      <c r="F16" s="69">
        <v>8</v>
      </c>
      <c r="G16" s="69">
        <v>8</v>
      </c>
      <c r="H16" s="69">
        <v>8</v>
      </c>
      <c r="I16" s="69">
        <v>8</v>
      </c>
      <c r="J16" s="69">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59B972-7DB8-1588-EE88-7C6B178077BD}"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1902</v>
      </c>
      <c r="E7" s="2100"/>
      <c r="F7" s="267"/>
      <c r="M7" s="69">
        <v>22</v>
      </c>
    </row>
    <row customHeight="1" ht="3">
      <c r="C8" s="92"/>
      <c r="D8" s="70"/>
      <c r="E8" s="70"/>
      <c r="M8" s="69">
        <v>3</v>
      </c>
    </row>
    <row customHeight="1" ht="16.8">
      <c r="C9" s="92"/>
      <c r="D9" s="105" t="s">
        <v>92</v>
      </c>
      <c r="E9" s="108" t="s">
        <v>295</v>
      </c>
      <c r="M9" s="69">
        <v>16</v>
      </c>
    </row>
    <row customHeight="1" ht="12.75">
      <c r="C10" s="92"/>
      <c r="D10" s="87" t="s">
        <v>113</v>
      </c>
      <c r="E10" s="87" t="s">
        <v>114</v>
      </c>
      <c r="M10" s="69">
        <v>12</v>
      </c>
    </row>
    <row customHeight="1" ht="15" hidden="1">
      <c r="C11" s="92"/>
      <c r="D11" s="113">
        <v>0</v>
      </c>
      <c r="E11" s="149"/>
      <c r="M11" s="69">
        <v>0</v>
      </c>
    </row>
    <row customHeight="1" ht="14.699999999999998">
      <c r="C12" s="92"/>
      <c r="D12" s="109"/>
      <c r="E12" s="107" t="s">
        <v>1900</v>
      </c>
      <c r="M12" s="69">
        <v>14</v>
      </c>
    </row>
    <row customHeight="1" ht="14.25" hidden="1">
      <c r="A13" s="69" t="s">
        <v>86</v>
      </c>
      <c r="B13" s="69">
        <v>0</v>
      </c>
      <c r="C13" s="91">
        <v>3</v>
      </c>
      <c r="D13" s="69">
        <v>6</v>
      </c>
      <c r="E13" s="69">
        <v>94</v>
      </c>
      <c r="F13" s="69">
        <v>8</v>
      </c>
      <c r="G13" s="69">
        <v>8</v>
      </c>
      <c r="H13" s="69">
        <v>8</v>
      </c>
      <c r="I13" s="69">
        <v>8</v>
      </c>
      <c r="J13" s="69">
        <v>8</v>
      </c>
      <c r="K13" s="69">
        <v>8</v>
      </c>
      <c r="L13" s="69">
        <v>8</v>
      </c>
      <c r="M13" s="69">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E49858-EDC8-53A8-8AB8-1E88DD0F3ADB}"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287</v>
      </c>
      <c r="M2" s="1553" t="s">
        <v>288</v>
      </c>
      <c r="R2" s="1553" t="s">
        <v>289</v>
      </c>
      <c r="S2" s="1553" t="s">
        <v>288</v>
      </c>
      <c r="X2" s="1553" t="s">
        <v>287</v>
      </c>
      <c r="Y2" s="1553" t="s">
        <v>288</v>
      </c>
      <c r="AD2" s="1553" t="s">
        <v>287</v>
      </c>
      <c r="AE2" s="1553" t="s">
        <v>288</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290</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ООО "Энерго-Сервис"</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92</v>
      </c>
      <c r="E8" s="2127" t="s">
        <v>109</v>
      </c>
      <c r="F8" s="2192" t="s">
        <v>126</v>
      </c>
      <c r="G8" s="2193"/>
      <c r="H8" s="2192" t="s">
        <v>92</v>
      </c>
      <c r="I8" s="2193"/>
      <c r="J8" s="2127" t="s">
        <v>127</v>
      </c>
      <c r="K8" s="1556"/>
      <c r="L8" s="2196" t="s">
        <v>291</v>
      </c>
      <c r="M8" s="2196"/>
      <c r="N8" s="2196"/>
      <c r="O8" s="2196"/>
      <c r="P8" s="2196"/>
      <c r="Q8" s="1557"/>
      <c r="R8" s="2096" t="s">
        <v>292</v>
      </c>
      <c r="S8" s="2197"/>
      <c r="T8" s="2197"/>
      <c r="U8" s="2197"/>
      <c r="V8" s="2197"/>
      <c r="W8" s="1557"/>
      <c r="X8" s="2198" t="s">
        <v>293</v>
      </c>
      <c r="Y8" s="2198"/>
      <c r="Z8" s="2198"/>
      <c r="AA8" s="2198"/>
      <c r="AB8" s="2198"/>
      <c r="AC8" s="1558"/>
      <c r="AD8" s="2127" t="s">
        <v>294</v>
      </c>
      <c r="AE8" s="2127"/>
      <c r="AF8" s="2127"/>
      <c r="AG8" s="2127"/>
      <c r="AH8" s="2101"/>
      <c r="AI8" s="2127" t="s">
        <v>295</v>
      </c>
      <c r="AJ8" s="1574"/>
      <c r="BM8" s="293">
        <v>32</v>
      </c>
    </row>
    <row customHeight="1" ht="23.25">
      <c r="D9" s="2127"/>
      <c r="E9" s="2127"/>
      <c r="F9" s="2175" t="s">
        <v>93</v>
      </c>
      <c r="G9" s="2175" t="s">
        <v>132</v>
      </c>
      <c r="H9" s="2194"/>
      <c r="I9" s="2195"/>
      <c r="J9" s="2101"/>
      <c r="K9" s="1559"/>
      <c r="L9" s="2127" t="s">
        <v>296</v>
      </c>
      <c r="M9" s="2101"/>
      <c r="N9" s="2192" t="s">
        <v>92</v>
      </c>
      <c r="O9" s="2193"/>
      <c r="P9" s="2127" t="s">
        <v>133</v>
      </c>
      <c r="Q9" s="1556"/>
      <c r="R9" s="2127" t="s">
        <v>296</v>
      </c>
      <c r="S9" s="2101"/>
      <c r="T9" s="2192" t="s">
        <v>92</v>
      </c>
      <c r="U9" s="2193"/>
      <c r="V9" s="2127" t="s">
        <v>133</v>
      </c>
      <c r="W9" s="1556"/>
      <c r="X9" s="2127" t="s">
        <v>296</v>
      </c>
      <c r="Y9" s="2101"/>
      <c r="Z9" s="2192" t="s">
        <v>92</v>
      </c>
      <c r="AA9" s="2193"/>
      <c r="AB9" s="2127" t="s">
        <v>297</v>
      </c>
      <c r="AC9" s="1556"/>
      <c r="AD9" s="2127" t="s">
        <v>296</v>
      </c>
      <c r="AE9" s="2101"/>
      <c r="AF9" s="2192" t="s">
        <v>92</v>
      </c>
      <c r="AG9" s="2193"/>
      <c r="AH9" s="2101" t="s">
        <v>297</v>
      </c>
      <c r="AI9" s="2127"/>
      <c r="AJ9" s="1574"/>
      <c r="BM9" s="293">
        <v>22</v>
      </c>
    </row>
    <row customHeight="1" ht="24">
      <c r="D10" s="2175"/>
      <c r="E10" s="2175"/>
      <c r="F10" s="2199"/>
      <c r="G10" s="2199"/>
      <c r="H10" s="2200"/>
      <c r="I10" s="2201"/>
      <c r="J10" s="2192"/>
      <c r="K10" s="1559"/>
      <c r="L10" s="1578" t="s">
        <v>298</v>
      </c>
      <c r="M10" s="1573" t="s">
        <v>299</v>
      </c>
      <c r="N10" s="2194"/>
      <c r="O10" s="2195"/>
      <c r="P10" s="2175"/>
      <c r="Q10" s="1556"/>
      <c r="R10" s="1578" t="s">
        <v>298</v>
      </c>
      <c r="S10" s="1573" t="s">
        <v>299</v>
      </c>
      <c r="T10" s="2194"/>
      <c r="U10" s="2195"/>
      <c r="V10" s="2175"/>
      <c r="W10" s="1556"/>
      <c r="X10" s="1578" t="s">
        <v>298</v>
      </c>
      <c r="Y10" s="1573" t="s">
        <v>299</v>
      </c>
      <c r="Z10" s="2194"/>
      <c r="AA10" s="2195"/>
      <c r="AB10" s="2175"/>
      <c r="AC10" s="1556"/>
      <c r="AD10" s="1578" t="s">
        <v>298</v>
      </c>
      <c r="AE10" s="1573" t="s">
        <v>299</v>
      </c>
      <c r="AF10" s="2194"/>
      <c r="AG10" s="2195"/>
      <c r="AH10" s="2192"/>
      <c r="AI10" s="2175"/>
      <c r="AJ10" s="1574"/>
      <c r="AK10" s="254" t="s">
        <v>300</v>
      </c>
      <c r="AL10" s="254" t="s">
        <v>134</v>
      </c>
      <c r="BM10" s="293">
        <v>23</v>
      </c>
    </row>
    <row customHeight="1" ht="15">
      <c r="D11" s="2183" t="s">
        <v>113</v>
      </c>
      <c r="E11" s="2179" t="s">
        <v>301</v>
      </c>
      <c r="F11" s="2179" t="s">
        <v>302</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114</v>
      </c>
      <c r="E17" s="2179" t="s">
        <v>301</v>
      </c>
      <c r="F17" s="2179" t="s">
        <v>303</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94</v>
      </c>
      <c r="E23" s="2179" t="s">
        <v>301</v>
      </c>
      <c r="F23" s="2179" t="s">
        <v>304</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102</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95</v>
      </c>
      <c r="E29" s="2179" t="s">
        <v>301</v>
      </c>
      <c r="F29" s="2179" t="s">
        <v>305</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115</v>
      </c>
      <c r="E35" s="2179" t="s">
        <v>301</v>
      </c>
      <c r="F35" s="2179" t="s">
        <v>306</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86</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0071E8-0641-CDBB-6AE2-B943A2C907A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1903</v>
      </c>
      <c r="C2" s="2500"/>
      <c r="D2" s="2500"/>
      <c r="E2" s="268"/>
      <c r="F2" s="89">
        <v>22</v>
      </c>
    </row>
    <row customHeight="1" ht="3">
      <c r="F3" s="89">
        <v>3</v>
      </c>
    </row>
    <row customHeight="1" ht="23.25">
      <c r="B4" s="2614" t="s">
        <v>1904</v>
      </c>
      <c r="C4" s="383" t="s">
        <v>1905</v>
      </c>
      <c r="D4" s="383" t="s">
        <v>1906</v>
      </c>
      <c r="F4" s="89">
        <v>22</v>
      </c>
    </row>
    <row customHeight="1" ht="11.25" hidden="1">
      <c r="A5" s="89" t="s">
        <v>86</v>
      </c>
      <c r="B5" s="89">
        <v>34</v>
      </c>
      <c r="C5" s="89">
        <v>85</v>
      </c>
      <c r="D5" s="89">
        <v>17</v>
      </c>
      <c r="E5" s="89">
        <v>8</v>
      </c>
      <c r="F5" s="89">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9CFFBD-D808-2FD8-7B64-2F8ADAA67E61}"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1907</v>
      </c>
    </row>
    <row r="4" s="264" customFormat="1" customHeight="1" ht="15">
      <c r="C4" s="1816"/>
      <c r="D4" s="113"/>
      <c r="E4" s="377"/>
    </row>
    <row r="6" s="1815" customFormat="1" customHeight="1" ht="17.25">
      <c r="A6" s="1815" t="s">
        <v>1908</v>
      </c>
    </row>
    <row r="8" s="264" customFormat="1" customHeight="1" ht="17.25">
      <c r="C8" s="1817"/>
      <c r="D8" s="113"/>
      <c r="E8" s="114"/>
    </row>
    <row r="11" s="1815" customFormat="1" customHeight="1" ht="17.25">
      <c r="A11" s="1815" t="s">
        <v>1909</v>
      </c>
    </row>
    <row r="13" s="1819" customFormat="1" customHeight="1" ht="15">
      <c r="A13" s="2217">
        <v>1</v>
      </c>
      <c r="B13" s="1160"/>
      <c r="C13" s="801" t="s">
        <v>453</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106</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1910</v>
      </c>
    </row>
    <row r="19" s="1850" customFormat="1" customHeight="1" ht="15">
      <c r="A19" s="1882"/>
      <c r="B19" s="1366">
        <v>1</v>
      </c>
      <c r="C19" s="1366"/>
      <c r="D19" s="800" t="s">
        <v>453</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1911</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453</v>
      </c>
      <c r="D23" s="2108" t="s">
        <v>113</v>
      </c>
      <c r="E23" s="2109"/>
      <c r="F23" s="2107" t="s">
        <v>19</v>
      </c>
      <c r="G23" s="2557"/>
      <c r="H23" s="2127">
        <v>1</v>
      </c>
      <c r="I23" s="2559" t="str">
        <f>IF(U23="","",INDEX(TERRITORY_MR_LIST,MATCH(U23,TERRITORY_LIST_ID,0)))</f>
        <v/>
      </c>
      <c r="J23" s="2107" t="s">
        <v>19</v>
      </c>
      <c r="K23" s="832"/>
      <c r="L23" s="1782" t="s">
        <v>113</v>
      </c>
      <c r="M23" s="603"/>
      <c r="N23" s="604"/>
      <c r="O23" s="604"/>
      <c r="P23" s="604"/>
      <c r="Q23" s="604"/>
      <c r="R23" s="604"/>
      <c r="S23" s="604"/>
      <c r="T23" s="604"/>
      <c r="U23" s="605"/>
      <c r="V23" s="604"/>
      <c r="W23" s="604"/>
      <c r="X23" s="595"/>
      <c r="Y23" s="595" t="s">
        <v>122</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123</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124</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1912</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453</v>
      </c>
      <c r="H29" s="2103">
        <v>1</v>
      </c>
      <c r="I29" s="2562" t="str">
        <f>IF(U29="","",INDEX(TERRITORY_MR_LIST,MATCH(U29,TERRITORY_LIST_ID,0)))</f>
        <v/>
      </c>
      <c r="J29" s="2107" t="s">
        <v>19</v>
      </c>
      <c r="K29" s="832"/>
      <c r="L29" s="1782" t="s">
        <v>113</v>
      </c>
      <c r="M29" s="603"/>
      <c r="N29" s="604"/>
      <c r="O29" s="604"/>
      <c r="P29" s="604"/>
      <c r="Q29" s="604"/>
      <c r="R29" s="604"/>
      <c r="S29" s="604"/>
      <c r="T29" s="604"/>
      <c r="U29" s="605"/>
      <c r="V29" s="604"/>
      <c r="W29" s="604"/>
      <c r="X29" s="595"/>
      <c r="Y29" s="595" t="s">
        <v>122</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123</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1913</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453</v>
      </c>
      <c r="L34" s="1729" t="s">
        <v>113</v>
      </c>
      <c r="M34" s="811"/>
      <c r="N34" s="812"/>
      <c r="O34" s="604"/>
      <c r="P34" s="604"/>
      <c r="Q34" s="604"/>
      <c r="R34" s="604"/>
      <c r="S34" s="604"/>
      <c r="T34" s="604"/>
      <c r="U34" s="605"/>
      <c r="V34" s="604"/>
      <c r="W34" s="604"/>
      <c r="X34" s="595"/>
      <c r="Y34" s="595" t="s">
        <v>122</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1914</v>
      </c>
    </row>
    <row customHeight="1" ht="11.25"/>
    <row s="455" customFormat="1" customHeight="1" ht="22.5">
      <c r="A39" s="1791"/>
      <c r="B39" s="457"/>
      <c r="C39" s="859"/>
      <c r="D39" s="440"/>
      <c r="E39" s="860"/>
      <c r="F39" s="1812"/>
      <c r="G39" s="1822"/>
      <c r="H39" s="475"/>
    </row>
    <row customHeight="1" ht="11.25"/>
    <row s="1815" customFormat="1" customHeight="1" ht="11.25">
      <c r="A41" s="1815" t="s">
        <v>1915</v>
      </c>
    </row>
    <row customHeight="1" ht="11.25"/>
    <row s="455" customFormat="1" customHeight="1" ht="22.5">
      <c r="A43" s="457"/>
      <c r="B43" s="457"/>
      <c r="C43" s="457"/>
      <c r="D43" s="440"/>
      <c r="E43" s="860"/>
      <c r="F43" s="861"/>
      <c r="G43" s="1822"/>
      <c r="H43" s="475"/>
    </row>
    <row customHeight="1" ht="11.25"/>
    <row s="1815" customFormat="1" customHeight="1" ht="11.25">
      <c r="A45" s="1815" t="s">
        <v>1916</v>
      </c>
    </row>
    <row customHeight="1" ht="11.25"/>
    <row s="455" customFormat="1" customHeight="1" ht="24">
      <c r="A47" s="2202" t="s">
        <v>321</v>
      </c>
      <c r="B47" s="502"/>
      <c r="C47" s="2213"/>
      <c r="D47" s="445" t="str">
        <f>A47</f>
        <v>5.1</v>
      </c>
      <c r="E47" s="442" t="s">
        <v>322</v>
      </c>
      <c r="F47" s="1976" t="s">
        <v>314</v>
      </c>
      <c r="G47" s="444" t="s">
        <v>323</v>
      </c>
      <c r="H47" s="475"/>
      <c r="I47" s="852"/>
    </row>
    <row s="455" customFormat="1" customHeight="1" ht="22.5">
      <c r="A48" s="2202"/>
      <c r="B48" s="502"/>
      <c r="C48" s="2213"/>
      <c r="D48" s="440" t="str">
        <f>D47&amp;".1"</f>
        <v>5.1.1</v>
      </c>
      <c r="E48" s="439" t="s">
        <v>324</v>
      </c>
      <c r="F48" s="1977" t="s">
        <v>28</v>
      </c>
      <c r="G48" s="474"/>
      <c r="H48" s="475"/>
      <c r="I48" s="852"/>
    </row>
    <row s="455" customFormat="1" customHeight="1" ht="22.5">
      <c r="A49" s="2202"/>
      <c r="B49" s="502"/>
      <c r="C49" s="2213"/>
      <c r="D49" s="440" t="str">
        <f>D47&amp;".2"</f>
        <v>5.1.2</v>
      </c>
      <c r="E49" s="439" t="s">
        <v>325</v>
      </c>
      <c r="F49" s="1732" t="s">
        <v>28</v>
      </c>
      <c r="G49" s="444" t="s">
        <v>326</v>
      </c>
      <c r="H49" s="475"/>
      <c r="I49" s="852"/>
    </row>
    <row s="455" customFormat="1" customHeight="1" ht="22.5">
      <c r="A50" s="2202"/>
      <c r="B50" s="502"/>
      <c r="C50" s="2213"/>
      <c r="D50" s="440" t="str">
        <f>D47&amp;".3"</f>
        <v>5.1.3</v>
      </c>
      <c r="E50" s="439" t="s">
        <v>327</v>
      </c>
      <c r="F50" s="1977" t="s">
        <v>28</v>
      </c>
      <c r="G50" s="474"/>
      <c r="H50" s="475"/>
      <c r="I50" s="852"/>
    </row>
    <row s="455" customFormat="1" customHeight="1" ht="22.5">
      <c r="A51" s="2202"/>
      <c r="B51" s="502"/>
      <c r="C51" s="2213"/>
      <c r="D51" s="440" t="str">
        <f>D47&amp;".4"</f>
        <v>5.1.4</v>
      </c>
      <c r="E51" s="439" t="s">
        <v>328</v>
      </c>
      <c r="F51" s="1977" t="s">
        <v>28</v>
      </c>
      <c r="G51" s="444" t="s">
        <v>329</v>
      </c>
      <c r="H51" s="475"/>
      <c r="I51" s="852"/>
    </row>
    <row r="54" s="1815" customFormat="1" customHeight="1" ht="17.25">
      <c r="A54" s="1815" t="s">
        <v>1917</v>
      </c>
    </row>
    <row r="56" s="1612" customFormat="1" customHeight="1" ht="18.75">
      <c r="A56" s="89"/>
      <c r="B56" s="1823"/>
      <c r="C56" s="1823"/>
      <c r="D56" s="1824"/>
      <c r="E56" s="1809"/>
      <c r="F56" s="868">
        <v>13</v>
      </c>
      <c r="G56" s="867"/>
      <c r="H56" s="793"/>
      <c r="I56" s="791"/>
      <c r="J56" s="520" t="s">
        <v>70</v>
      </c>
      <c r="K56" s="1825" t="s">
        <v>28</v>
      </c>
      <c r="L56" s="89"/>
      <c r="M56" s="1636"/>
      <c r="N56" s="1636"/>
      <c r="O56" s="1636"/>
      <c r="P56" s="516" t="s">
        <v>400</v>
      </c>
      <c r="Q56" s="516" t="s">
        <v>401</v>
      </c>
      <c r="R56" s="517" t="s">
        <v>402</v>
      </c>
      <c r="S56" s="1636" t="s">
        <v>403</v>
      </c>
      <c r="T56" s="1636"/>
      <c r="U56" s="1636"/>
      <c r="V56" s="1636"/>
    </row>
    <row r="58" s="1815" customFormat="1" customHeight="1" ht="11.25">
      <c r="A58" s="1815" t="s">
        <v>1918</v>
      </c>
    </row>
    <row r="60" s="1635" customFormat="1" customHeight="1" ht="14.25">
      <c r="C60" s="1688"/>
      <c r="D60" s="1869"/>
      <c r="E60" s="1777" t="s">
        <v>28</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389</v>
      </c>
      <c r="AQ60" s="1624" t="s">
        <v>389</v>
      </c>
      <c r="AR60" s="1636"/>
      <c r="AS60" s="1636"/>
    </row>
    <row r="62" s="1815" customFormat="1" customHeight="1" ht="11.25">
      <c r="A62" s="1815" t="s">
        <v>1919</v>
      </c>
    </row>
    <row r="64" s="1823" customFormat="1" customHeight="1" ht="15">
      <c r="A64" s="145" t="s">
        <v>94</v>
      </c>
      <c r="B64" s="125" t="s">
        <v>28</v>
      </c>
      <c r="C64" s="1826"/>
      <c r="D64" s="128"/>
      <c r="E64" s="381"/>
      <c r="F64" s="381"/>
      <c r="G64" s="1803"/>
      <c r="H64" s="1825"/>
      <c r="I64" s="1804"/>
      <c r="K64" s="272"/>
      <c r="L64" s="273"/>
    </row>
    <row r="66" s="1815" customFormat="1" customHeight="1" ht="11.25">
      <c r="A66" s="1815" t="s">
        <v>1920</v>
      </c>
    </row>
    <row r="68" s="1635" customFormat="1" customHeight="1" ht="14.25">
      <c r="A68" s="343"/>
      <c r="B68" s="1160"/>
      <c r="C68" s="376"/>
      <c r="D68" s="1810"/>
      <c r="E68" s="886"/>
      <c r="F68" s="1825"/>
      <c r="G68" s="89"/>
      <c r="I68" s="1624"/>
      <c r="J68" s="1624"/>
    </row>
    <row r="70" s="1815" customFormat="1" customHeight="1" ht="11.25">
      <c r="A70" s="1815" t="s">
        <v>1921</v>
      </c>
    </row>
    <row r="72" s="1635" customFormat="1" customHeight="1" ht="27">
      <c r="A72" s="1166"/>
      <c r="B72" s="1166"/>
      <c r="C72" s="1166"/>
      <c r="D72" s="1160"/>
      <c r="E72" s="1827"/>
      <c r="F72" s="2581"/>
      <c r="G72" s="2582"/>
      <c r="H72" s="2583" t="s">
        <v>70</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70</v>
      </c>
      <c r="Z72" s="1808"/>
      <c r="AA72" s="1792">
        <v>1</v>
      </c>
      <c r="AB72" s="1242"/>
      <c r="AD72" s="1636" t="s">
        <v>1922</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1923</v>
      </c>
    </row>
    <row r="75" s="1815" customFormat="1" customHeight="1" ht="11.25">
      <c r="A75" s="1815" t="s">
        <v>1924</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1922</v>
      </c>
    </row>
    <row r="79" s="1815" customFormat="1" customHeight="1" ht="11.25">
      <c r="A79" s="1815" t="s">
        <v>1925</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384</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1926</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1927</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28</v>
      </c>
      <c r="R91" s="2513" t="s">
        <v>28</v>
      </c>
      <c r="S91" s="2513" t="s">
        <v>28</v>
      </c>
      <c r="T91" s="2513" t="s">
        <v>28</v>
      </c>
      <c r="U91" s="2513" t="s">
        <v>28</v>
      </c>
      <c r="V91" s="2513" t="s">
        <v>28</v>
      </c>
      <c r="W91" s="2513" t="s">
        <v>28</v>
      </c>
      <c r="X91" s="2513" t="s">
        <v>28</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1928</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1929</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1930</v>
      </c>
    </row>
    <row r="101" s="1635" customFormat="1" customHeight="1" ht="11.25">
      <c r="A101" s="1166"/>
      <c r="B101" s="1166"/>
      <c r="C101" s="1166"/>
      <c r="D101" s="1160"/>
      <c r="E101" s="1170"/>
      <c r="F101" s="1829"/>
      <c r="G101" s="1830"/>
      <c r="H101" s="2515" t="s">
        <v>113</v>
      </c>
      <c r="I101" s="2516"/>
      <c r="J101" s="2485"/>
      <c r="K101" s="2517"/>
      <c r="L101" s="2107" t="s">
        <v>19</v>
      </c>
      <c r="M101" s="2108"/>
      <c r="N101" s="1986"/>
      <c r="O101" s="1177" t="s">
        <v>384</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28</v>
      </c>
      <c r="R102" s="2513" t="s">
        <v>28</v>
      </c>
      <c r="S102" s="2513" t="s">
        <v>28</v>
      </c>
      <c r="T102" s="2513" t="s">
        <v>28</v>
      </c>
      <c r="U102" s="2513" t="s">
        <v>28</v>
      </c>
      <c r="V102" s="2513" t="s">
        <v>28</v>
      </c>
      <c r="W102" s="2513" t="s">
        <v>28</v>
      </c>
      <c r="X102" s="2513" t="s">
        <v>28</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1928</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1931</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1932</v>
      </c>
    </row>
    <row customHeight="1" ht="17.25"/>
    <row s="925" customFormat="1" customHeight="1" ht="21">
      <c r="A109" s="1167"/>
      <c r="B109" s="940"/>
      <c r="D109" s="924"/>
      <c r="E109" s="939" t="s">
        <v>28</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1933</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1934</v>
      </c>
    </row>
    <row r="115" s="1850" customFormat="1" customHeight="1" ht="15">
      <c r="A115" s="623"/>
      <c r="B115" s="624"/>
      <c r="C115" s="624"/>
      <c r="D115" s="2578" t="s">
        <v>113</v>
      </c>
      <c r="E115" s="2377" t="s">
        <v>109</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28</v>
      </c>
      <c r="AF115" s="630"/>
      <c r="AG115" s="631" t="s">
        <v>617</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572</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573</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618</v>
      </c>
      <c r="F118" s="2376"/>
      <c r="G118" s="2376"/>
      <c r="H118" s="2376"/>
      <c r="I118" s="2376"/>
      <c r="J118" s="2376"/>
      <c r="K118" s="2376"/>
      <c r="L118" s="2376"/>
      <c r="M118" s="2376"/>
      <c r="N118" s="2376"/>
      <c r="O118" s="2376"/>
      <c r="P118" s="2376"/>
      <c r="Q118" s="558">
        <f>SUMIF(T119:T120,"i",Q119:Q120)</f>
        <v>0</v>
      </c>
      <c r="R118" s="1017"/>
      <c r="S118" s="1798" t="s">
        <v>619</v>
      </c>
      <c r="T118" s="717" t="s">
        <v>620</v>
      </c>
      <c r="U118" s="2374">
        <v>1</v>
      </c>
      <c r="V118" s="2374" t="s">
        <v>583</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28</v>
      </c>
      <c r="F120" s="1168" t="s">
        <v>28</v>
      </c>
      <c r="G120" s="1168" t="s">
        <v>1935</v>
      </c>
      <c r="H120" s="651" t="s">
        <v>28</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621</v>
      </c>
      <c r="F121" s="2376"/>
      <c r="G121" s="2376"/>
      <c r="H121" s="2376"/>
      <c r="I121" s="2376"/>
      <c r="J121" s="2376"/>
      <c r="K121" s="2376"/>
      <c r="L121" s="2376"/>
      <c r="M121" s="2376"/>
      <c r="N121" s="2376"/>
      <c r="O121" s="2376"/>
      <c r="P121" s="2376"/>
      <c r="Q121" s="558">
        <f>SUMIF(T122:T123,"i",Q122:Q123)</f>
        <v>0</v>
      </c>
      <c r="R121" s="1017"/>
      <c r="S121" s="1798" t="s">
        <v>622</v>
      </c>
      <c r="T121" s="717" t="s">
        <v>620</v>
      </c>
      <c r="U121" s="2374">
        <v>1</v>
      </c>
      <c r="V121" s="2374" t="s">
        <v>583</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28</v>
      </c>
      <c r="F123" s="1168" t="s">
        <v>28</v>
      </c>
      <c r="G123" s="1168" t="s">
        <v>1935</v>
      </c>
      <c r="H123" s="651" t="s">
        <v>28</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1936</v>
      </c>
    </row>
    <row r="127" s="1850" customFormat="1" customHeight="1" ht="15">
      <c r="A127" s="623"/>
      <c r="B127" s="624"/>
      <c r="C127" s="624"/>
      <c r="D127" s="2578" t="s">
        <v>113</v>
      </c>
      <c r="E127" s="2377" t="s">
        <v>109</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28</v>
      </c>
      <c r="AF127" s="630"/>
      <c r="AG127" s="631" t="s">
        <v>617</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572</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573</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618</v>
      </c>
      <c r="F130" s="2376"/>
      <c r="G130" s="2376"/>
      <c r="H130" s="2376"/>
      <c r="I130" s="2376"/>
      <c r="J130" s="2376"/>
      <c r="K130" s="2376"/>
      <c r="L130" s="2376"/>
      <c r="M130" s="2376"/>
      <c r="N130" s="2376"/>
      <c r="O130" s="2376"/>
      <c r="P130" s="2376"/>
      <c r="Q130" s="558">
        <f>SUMIF(T131:T132,"i",Q131:Q132)</f>
        <v>0</v>
      </c>
      <c r="R130" s="1017"/>
      <c r="S130" s="1798" t="s">
        <v>619</v>
      </c>
      <c r="T130" s="717" t="s">
        <v>620</v>
      </c>
      <c r="U130" s="2374">
        <v>1</v>
      </c>
      <c r="V130" s="2374" t="s">
        <v>583</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28</v>
      </c>
      <c r="F132" s="1168" t="s">
        <v>28</v>
      </c>
      <c r="G132" s="1168" t="s">
        <v>1935</v>
      </c>
      <c r="H132" s="651" t="s">
        <v>28</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620</v>
      </c>
      <c r="U133" s="2374">
        <v>1</v>
      </c>
      <c r="V133" s="2374" t="s">
        <v>583</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1937</v>
      </c>
    </row>
    <row r="139" s="1850" customFormat="1" customHeight="1" ht="45">
      <c r="A139" s="1806"/>
      <c r="B139" s="1160"/>
      <c r="C139" s="412"/>
      <c r="D139" s="89"/>
      <c r="E139" s="2572"/>
      <c r="F139" s="2108" t="s">
        <v>113</v>
      </c>
      <c r="G139" s="2575" t="s">
        <v>28</v>
      </c>
      <c r="H139" s="289"/>
      <c r="I139" s="637" t="s">
        <v>113</v>
      </c>
      <c r="J139" s="1807" t="s">
        <v>1938</v>
      </c>
      <c r="K139" s="638" t="s">
        <v>554</v>
      </c>
      <c r="L139" s="2224" t="s">
        <v>554</v>
      </c>
      <c r="M139" s="2577"/>
      <c r="N139" s="638" t="s">
        <v>554</v>
      </c>
      <c r="O139" s="638" t="s">
        <v>554</v>
      </c>
      <c r="P139" s="638" t="s">
        <v>554</v>
      </c>
      <c r="Q139" s="639">
        <f>SUM(Q140:Q142)</f>
        <v>0</v>
      </c>
      <c r="R139" s="639">
        <f>IF(R136=0,0,(Q136/R136)*100)</f>
        <v>0</v>
      </c>
      <c r="S139" s="2179"/>
      <c r="T139" s="717" t="s">
        <v>620</v>
      </c>
      <c r="U139" s="89"/>
      <c r="V139" s="89"/>
      <c r="AC139" s="89"/>
    </row>
    <row s="1850" customFormat="1" customHeight="1" ht="11.25">
      <c r="A140" s="1806"/>
      <c r="B140" s="1160"/>
      <c r="C140" s="412"/>
      <c r="D140" s="89"/>
      <c r="E140" s="2573"/>
      <c r="F140" s="2108"/>
      <c r="G140" s="2575"/>
      <c r="H140" s="2127"/>
      <c r="I140" s="2515" t="s">
        <v>1029</v>
      </c>
      <c r="J140" s="2569"/>
      <c r="K140" s="2570"/>
      <c r="L140" s="640"/>
      <c r="M140" s="641" t="s">
        <v>113</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1939</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28</v>
      </c>
      <c r="I142" s="646"/>
      <c r="J142" s="647" t="s">
        <v>1940</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1029</v>
      </c>
      <c r="J147" s="2569"/>
      <c r="K147" s="2570"/>
      <c r="L147" s="640"/>
      <c r="M147" s="641" t="s">
        <v>113</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1939</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113</v>
      </c>
      <c r="N150" s="1795"/>
      <c r="O150" s="642"/>
      <c r="P150" s="643"/>
      <c r="Q150" s="642"/>
      <c r="R150" s="644">
        <v>0</v>
      </c>
      <c r="S150" s="89"/>
      <c r="T150" s="717"/>
      <c r="U150" s="89"/>
      <c r="V150" s="89"/>
      <c r="AC150" s="89"/>
    </row>
    <row r="152" s="1815" customFormat="1" customHeight="1" ht="17.25">
      <c r="A152" s="1815" t="s">
        <v>1941</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70</v>
      </c>
      <c r="L154" s="2108"/>
      <c r="M154" s="2108" t="s">
        <v>113</v>
      </c>
      <c r="N154" s="2504" t="str">
        <f>IF(Z154="","",INDEX(TERRITORY_MR_LIST,MATCH(Z154,TERRITORY_LIST_ID,0)))</f>
        <v/>
      </c>
      <c r="O154" s="2185" t="s">
        <v>70</v>
      </c>
      <c r="P154" s="2108"/>
      <c r="Q154" s="2108" t="s">
        <v>113</v>
      </c>
      <c r="R154" s="2502" t="s">
        <v>28</v>
      </c>
      <c r="S154" s="2107" t="s">
        <v>70</v>
      </c>
      <c r="T154" s="1811"/>
      <c r="U154" s="1811" t="s">
        <v>113</v>
      </c>
      <c r="V154" s="1843" t="s">
        <v>28</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172</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173</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174</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175</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70</v>
      </c>
      <c r="L160" s="2108"/>
      <c r="M160" s="2108" t="s">
        <v>113</v>
      </c>
      <c r="N160" s="2504" t="str">
        <f>IF(Z160="","",INDEX(TERRITORY_MR_LIST,MATCH(Z160,TERRITORY_LIST_ID,0)))</f>
        <v/>
      </c>
      <c r="O160" s="2185" t="s">
        <v>70</v>
      </c>
      <c r="P160" s="2108"/>
      <c r="Q160" s="2108" t="s">
        <v>113</v>
      </c>
      <c r="R160" s="2502" t="s">
        <v>28</v>
      </c>
      <c r="S160" s="2107" t="s">
        <v>70</v>
      </c>
      <c r="T160" s="1811"/>
      <c r="U160" s="1811" t="s">
        <v>113</v>
      </c>
      <c r="V160" s="1843" t="s">
        <v>28</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172</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173</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174</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113</v>
      </c>
      <c r="N165" s="2504" t="str">
        <f>IF(Z165="","",INDEX(TERRITORY_MR_LIST,MATCH(Z165,TERRITORY_LIST_ID,0)))</f>
        <v/>
      </c>
      <c r="O165" s="2185" t="s">
        <v>70</v>
      </c>
      <c r="P165" s="2108"/>
      <c r="Q165" s="2108" t="s">
        <v>113</v>
      </c>
      <c r="R165" s="2502" t="s">
        <v>28</v>
      </c>
      <c r="S165" s="2107" t="s">
        <v>70</v>
      </c>
      <c r="T165" s="1811"/>
      <c r="U165" s="1811" t="s">
        <v>113</v>
      </c>
      <c r="V165" s="1843" t="s">
        <v>28</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172</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173</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113</v>
      </c>
      <c r="R169" s="2502" t="s">
        <v>28</v>
      </c>
      <c r="S169" s="2107" t="s">
        <v>70</v>
      </c>
      <c r="T169" s="1811"/>
      <c r="U169" s="1811" t="s">
        <v>113</v>
      </c>
      <c r="V169" s="1843" t="s">
        <v>28</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172</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113</v>
      </c>
      <c r="V172" s="1843" t="s">
        <v>28</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1942</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70</v>
      </c>
      <c r="L176" s="2108"/>
      <c r="M176" s="2108" t="s">
        <v>113</v>
      </c>
      <c r="N176" s="2504" t="str">
        <f>IF(Z176="","",INDEX(TERRITORY_MR_LIST,MATCH(Z176,TERRITORY_LIST_ID,0)))</f>
        <v/>
      </c>
      <c r="O176" s="2185" t="s">
        <v>70</v>
      </c>
      <c r="P176" s="2108"/>
      <c r="Q176" s="2108" t="s">
        <v>113</v>
      </c>
      <c r="R176" s="2502" t="s">
        <v>28</v>
      </c>
      <c r="S176" s="2406" t="s">
        <v>19</v>
      </c>
      <c r="T176" s="1802"/>
      <c r="U176" s="1802" t="s">
        <v>113</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173</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174</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175</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70</v>
      </c>
      <c r="L182" s="2108"/>
      <c r="M182" s="2108" t="s">
        <v>113</v>
      </c>
      <c r="N182" s="2504" t="str">
        <f>IF(Z182="","",INDEX(TERRITORY_MR_LIST,MATCH(Z182,TERRITORY_LIST_ID,0)))</f>
        <v/>
      </c>
      <c r="O182" s="2185" t="s">
        <v>70</v>
      </c>
      <c r="P182" s="2108"/>
      <c r="Q182" s="2108" t="s">
        <v>113</v>
      </c>
      <c r="R182" s="2502" t="s">
        <v>28</v>
      </c>
      <c r="S182" s="2406" t="s">
        <v>19</v>
      </c>
      <c r="T182" s="1802"/>
      <c r="U182" s="1802" t="s">
        <v>113</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173</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174</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113</v>
      </c>
      <c r="N187" s="2504" t="str">
        <f>IF(Z187="","",INDEX(TERRITORY_MR_LIST,MATCH(Z187,TERRITORY_LIST_ID,0)))</f>
        <v/>
      </c>
      <c r="O187" s="2185" t="s">
        <v>70</v>
      </c>
      <c r="P187" s="2108"/>
      <c r="Q187" s="2108" t="s">
        <v>113</v>
      </c>
      <c r="R187" s="2502" t="s">
        <v>28</v>
      </c>
      <c r="S187" s="2406" t="s">
        <v>19</v>
      </c>
      <c r="T187" s="1802"/>
      <c r="U187" s="1802" t="s">
        <v>113</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173</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113</v>
      </c>
      <c r="R191" s="2502" t="s">
        <v>28</v>
      </c>
      <c r="S191" s="2406" t="s">
        <v>19</v>
      </c>
      <c r="T191" s="1802"/>
      <c r="U191" s="1802" t="s">
        <v>113</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1943</v>
      </c>
    </row>
    <row customHeight="1" ht="17.25">
      <c r="G201" s="1839"/>
      <c r="H201" s="1839"/>
      <c r="I201" s="1839"/>
      <c r="M201" s="1835"/>
    </row>
    <row s="1850" customFormat="1" customHeight="1" ht="15">
      <c r="D202" s="2523"/>
      <c r="E202" s="2199"/>
      <c r="F202" s="2199"/>
      <c r="G202" s="2185"/>
      <c r="H202" s="1564"/>
      <c r="I202" s="2527">
        <v>1</v>
      </c>
      <c r="J202" s="2501"/>
      <c r="K202" s="1579"/>
      <c r="L202" s="2185" t="s">
        <v>70</v>
      </c>
      <c r="M202" s="2185" t="s">
        <v>70</v>
      </c>
      <c r="N202" s="1564"/>
      <c r="O202" s="2108" t="s">
        <v>113</v>
      </c>
      <c r="P202" s="2517"/>
      <c r="Q202" s="1580"/>
      <c r="R202" s="2185" t="s">
        <v>70</v>
      </c>
      <c r="S202" s="2185" t="s">
        <v>70</v>
      </c>
      <c r="T202" s="1855"/>
      <c r="U202" s="2108" t="s">
        <v>113</v>
      </c>
      <c r="V202" s="2524" t="str">
        <f>IF(AK202="","",INDEX(TERRITORY_MR_LIST,MATCH(AK202,TERRITORY_LIST_ID,0)))</f>
        <v/>
      </c>
      <c r="W202" s="1581"/>
      <c r="X202" s="2185" t="s">
        <v>70</v>
      </c>
      <c r="Y202" s="2185" t="s">
        <v>19</v>
      </c>
      <c r="Z202" s="1564"/>
      <c r="AA202" s="2108" t="s">
        <v>113</v>
      </c>
      <c r="AB202" s="2526"/>
      <c r="AC202" s="1582"/>
      <c r="AD202" s="2185" t="s">
        <v>70</v>
      </c>
      <c r="AE202" s="2185" t="s">
        <v>19</v>
      </c>
      <c r="AF202" s="1562"/>
      <c r="AG202" s="1811" t="s">
        <v>113</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1944</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1945</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107</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1946</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175</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A6E2B8-CFF8-7418-CD38-B44CF832137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1947</v>
      </c>
      <c r="B1" s="846"/>
      <c r="C1" s="982" t="s">
        <v>1948</v>
      </c>
      <c r="D1" s="980" t="s">
        <v>815</v>
      </c>
      <c r="E1" s="980" t="s">
        <v>861</v>
      </c>
      <c r="F1" s="980" t="s">
        <v>914</v>
      </c>
      <c r="G1" s="980" t="s">
        <v>901</v>
      </c>
      <c r="H1" s="980" t="s">
        <v>1622</v>
      </c>
    </row>
    <row customHeight="1" ht="9">
      <c r="A2" s="983" t="s">
        <v>1949</v>
      </c>
      <c r="B2" s="983"/>
      <c r="C2" s="984" t="str">
        <f>INDEX(TEMPLATE_NUMBER_FORM_LIST,MATCH(TEMPLATE_SPHERE,TEMPLATE_SPHERE_LIST,0))</f>
        <v>16</v>
      </c>
      <c r="D2" s="983" t="s">
        <v>1472</v>
      </c>
      <c r="E2" s="983" t="s">
        <v>153</v>
      </c>
      <c r="F2" s="985" t="s">
        <v>153</v>
      </c>
      <c r="G2" s="983" t="s">
        <v>153</v>
      </c>
      <c r="H2" s="986"/>
    </row>
    <row customHeight="1" ht="63">
      <c r="A3" s="846"/>
      <c r="B3" s="846" t="s">
        <v>113</v>
      </c>
      <c r="C3" s="98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4" t="s">
        <v>1950</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5"/>
      <c r="G3" s="986"/>
      <c r="H3" s="846"/>
    </row>
    <row customHeight="1" ht="243">
      <c r="A4" s="846" t="s">
        <v>1951</v>
      </c>
      <c r="B4" s="846" t="s">
        <v>114</v>
      </c>
      <c r="C4" s="98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3" t="s">
        <v>1952</v>
      </c>
      <c r="E4" s="98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3"/>
      <c r="G4" s="983"/>
      <c r="H4" s="846" t="s">
        <v>1953</v>
      </c>
    </row>
    <row customHeight="1" ht="117">
      <c r="A5" s="846" t="s">
        <v>1954</v>
      </c>
      <c r="B5" s="846" t="s">
        <v>94</v>
      </c>
      <c r="C5" s="98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6" t="s">
        <v>1955</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6"/>
      <c r="G5" s="986"/>
      <c r="H5" s="846" t="s">
        <v>1956</v>
      </c>
    </row>
    <row customHeight="1" ht="90">
      <c r="A6" s="846" t="s">
        <v>1957</v>
      </c>
      <c r="B6" s="846" t="s">
        <v>95</v>
      </c>
      <c r="C6" s="98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6"/>
      <c r="G6" s="846"/>
      <c r="H6" s="986"/>
    </row>
    <row customHeight="1" ht="45">
      <c r="A7" s="846" t="s">
        <v>1958</v>
      </c>
      <c r="B7" s="846" t="s">
        <v>115</v>
      </c>
      <c r="C7" s="984" t="str">
        <f>IF(TEMPLATE_SPHERE="HEAT",D7,E7)</f>
        <v>Форма 11. Информация о расходах на капитальный и текущий ремонт основных средств</v>
      </c>
      <c r="D7" s="846" t="s">
        <v>1959</v>
      </c>
      <c r="E7" s="846" t="s">
        <v>1960</v>
      </c>
      <c r="F7" s="986"/>
      <c r="G7" s="986"/>
      <c r="H7" s="986"/>
    </row>
    <row customHeight="1" ht="108">
      <c r="A8" s="846" t="s">
        <v>1961</v>
      </c>
      <c r="B8" s="846" t="s">
        <v>96</v>
      </c>
      <c r="C8" s="98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6" t="s">
        <v>1162</v>
      </c>
      <c r="E8" s="846" t="s">
        <v>1962</v>
      </c>
      <c r="F8" s="986"/>
      <c r="G8" s="986"/>
      <c r="H8" s="986"/>
    </row>
    <row customHeight="1" ht="99">
      <c r="A9" s="846" t="s">
        <v>1963</v>
      </c>
      <c r="B9" s="846"/>
      <c r="C9" s="846" t="s">
        <v>1964</v>
      </c>
      <c r="D9" s="846"/>
      <c r="E9" s="846"/>
      <c r="F9" s="986"/>
      <c r="G9" s="986"/>
      <c r="H9" s="986"/>
    </row>
    <row customHeight="1" ht="126">
      <c r="A10" s="846" t="s">
        <v>1965</v>
      </c>
      <c r="B10" s="846"/>
      <c r="C10" s="846" t="s">
        <v>1966</v>
      </c>
      <c r="D10" s="846"/>
      <c r="E10" s="846"/>
      <c r="F10" s="986"/>
      <c r="G10" s="986"/>
      <c r="H10" s="986"/>
    </row>
    <row customHeight="1" ht="108">
      <c r="A11" s="846" t="s">
        <v>1967</v>
      </c>
      <c r="B11" s="846"/>
      <c r="C11" s="846" t="s">
        <v>1968</v>
      </c>
      <c r="D11" s="846"/>
      <c r="E11" s="846"/>
      <c r="F11" s="986"/>
      <c r="G11" s="986"/>
      <c r="H11" s="986"/>
    </row>
    <row customHeight="1" ht="54">
      <c r="A12" s="846" t="s">
        <v>1969</v>
      </c>
      <c r="B12" s="846"/>
      <c r="C12" s="846" t="s">
        <v>1970</v>
      </c>
      <c r="D12" s="846"/>
      <c r="E12" s="846"/>
      <c r="F12" s="986"/>
      <c r="G12" s="986"/>
      <c r="H12" s="986"/>
    </row>
    <row customHeight="1" ht="45">
      <c r="A13" s="846" t="s">
        <v>1971</v>
      </c>
      <c r="B13" s="846"/>
      <c r="C13" s="846" t="s">
        <v>1972</v>
      </c>
      <c r="D13" s="846"/>
      <c r="E13" s="846"/>
      <c r="F13" s="986"/>
      <c r="G13" s="986"/>
      <c r="H13" s="986"/>
    </row>
    <row customHeight="1" ht="117">
      <c r="A14" s="846" t="s">
        <v>1973</v>
      </c>
      <c r="B14" s="846"/>
      <c r="C14" s="846" t="s">
        <v>1974</v>
      </c>
      <c r="D14" s="846"/>
      <c r="E14" s="846"/>
      <c r="F14" s="986"/>
      <c r="G14" s="986"/>
      <c r="H14" s="986"/>
    </row>
    <row customHeight="1" ht="117">
      <c r="A15" s="846" t="s">
        <v>1975</v>
      </c>
      <c r="B15" s="846"/>
      <c r="C15" s="846" t="s">
        <v>1976</v>
      </c>
      <c r="D15" s="846"/>
      <c r="E15" s="846"/>
      <c r="F15" s="986"/>
      <c r="G15" s="986"/>
      <c r="H15" s="986"/>
    </row>
    <row customHeight="1" ht="63">
      <c r="A16" s="846" t="s">
        <v>1977</v>
      </c>
      <c r="B16" s="846"/>
      <c r="C16" s="846" t="s">
        <v>1978</v>
      </c>
      <c r="D16" s="846"/>
      <c r="E16" s="846"/>
      <c r="F16" s="986"/>
      <c r="G16" s="986"/>
      <c r="H16" s="986"/>
    </row>
    <row customHeight="1" ht="54">
      <c r="A17" s="846" t="s">
        <v>1979</v>
      </c>
      <c r="B17" s="846"/>
      <c r="C17" s="984" t="s">
        <v>1980</v>
      </c>
      <c r="D17" s="846"/>
      <c r="E17" s="846"/>
      <c r="F17" s="986"/>
      <c r="G17" s="986"/>
      <c r="H17" s="986"/>
    </row>
    <row customHeight="1" ht="27">
      <c r="A18" s="846" t="s">
        <v>1981</v>
      </c>
      <c r="B18" s="846"/>
      <c r="C18" s="984" t="s">
        <v>1982</v>
      </c>
      <c r="D18" s="846"/>
      <c r="E18" s="846"/>
      <c r="F18" s="986"/>
      <c r="G18" s="986"/>
      <c r="H18" s="986"/>
    </row>
    <row customHeight="1" ht="54">
      <c r="A19" s="846" t="s">
        <v>1983</v>
      </c>
      <c r="B19" s="846"/>
      <c r="C19" s="984" t="s">
        <v>1984</v>
      </c>
      <c r="D19" s="846"/>
      <c r="E19" s="846"/>
      <c r="F19" s="986"/>
      <c r="G19" s="986"/>
      <c r="H19" s="986"/>
    </row>
    <row customHeight="1" ht="36">
      <c r="A20" s="846" t="s">
        <v>1985</v>
      </c>
      <c r="B20" s="846"/>
      <c r="C20" s="984" t="s">
        <v>1986</v>
      </c>
      <c r="D20" s="846"/>
      <c r="E20" s="846"/>
      <c r="F20" s="986"/>
      <c r="G20" s="986"/>
      <c r="H20" s="986"/>
    </row>
    <row customHeight="1" ht="36">
      <c r="A21" s="846" t="s">
        <v>1987</v>
      </c>
      <c r="B21" s="846"/>
      <c r="C21" s="984" t="s">
        <v>1988</v>
      </c>
      <c r="D21" s="846"/>
      <c r="E21" s="846"/>
      <c r="F21" s="986"/>
      <c r="G21" s="986"/>
      <c r="H21" s="986"/>
    </row>
    <row customHeight="1" ht="27">
      <c r="A22" s="846" t="s">
        <v>1989</v>
      </c>
      <c r="B22" s="846"/>
      <c r="C22" s="984" t="s">
        <v>1990</v>
      </c>
      <c r="D22" s="846"/>
      <c r="E22" s="846"/>
      <c r="F22" s="986"/>
      <c r="G22" s="986"/>
      <c r="H22" s="986"/>
    </row>
    <row customHeight="1" ht="36">
      <c r="A23" s="846" t="s">
        <v>1991</v>
      </c>
      <c r="B23" s="846"/>
      <c r="C23" s="984" t="s">
        <v>1992</v>
      </c>
      <c r="D23" s="846"/>
      <c r="E23" s="846"/>
      <c r="F23" s="986"/>
      <c r="G23" s="986"/>
      <c r="H23" s="986"/>
    </row>
    <row customHeight="1" ht="28.5">
      <c r="A24" s="846" t="s">
        <v>1993</v>
      </c>
      <c r="B24" s="846"/>
      <c r="C24" s="984" t="s">
        <v>1994</v>
      </c>
      <c r="D24" s="846"/>
      <c r="E24" s="846"/>
      <c r="F24" s="986"/>
      <c r="G24" s="986"/>
      <c r="H24" s="986"/>
    </row>
    <row customHeight="1" ht="36">
      <c r="A25" s="846" t="s">
        <v>1995</v>
      </c>
      <c r="B25" s="846"/>
      <c r="C25" s="984" t="s">
        <v>1996</v>
      </c>
      <c r="D25" s="846"/>
      <c r="E25" s="846"/>
      <c r="F25" s="986"/>
      <c r="G25" s="986"/>
      <c r="H25" s="986"/>
    </row>
    <row customHeight="1" ht="27">
      <c r="A26" s="846" t="s">
        <v>1997</v>
      </c>
      <c r="B26" s="846"/>
      <c r="C26" s="984" t="s">
        <v>1998</v>
      </c>
      <c r="D26" s="846"/>
      <c r="E26" s="846"/>
      <c r="F26" s="986"/>
      <c r="G26" s="986"/>
      <c r="H26" s="986"/>
    </row>
    <row customHeight="1" ht="36">
      <c r="A27" s="846" t="s">
        <v>1999</v>
      </c>
      <c r="B27" s="846"/>
      <c r="C27" s="984" t="s">
        <v>2000</v>
      </c>
      <c r="D27" s="846"/>
      <c r="E27" s="846"/>
      <c r="F27" s="986"/>
      <c r="G27" s="986"/>
      <c r="H27" s="986"/>
    </row>
    <row customHeight="1" ht="28.5">
      <c r="A28" s="846" t="s">
        <v>2001</v>
      </c>
      <c r="B28" s="846"/>
      <c r="C28" s="984" t="s">
        <v>2002</v>
      </c>
      <c r="D28" s="846"/>
      <c r="E28" s="846"/>
      <c r="F28" s="986"/>
      <c r="G28" s="986"/>
      <c r="H28" s="986"/>
    </row>
    <row customHeight="1" ht="126">
      <c r="A29" s="846" t="s">
        <v>2003</v>
      </c>
      <c r="B29" s="846" t="s">
        <v>1574</v>
      </c>
      <c r="C29" s="98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6" t="s">
        <v>2004</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6"/>
      <c r="G29" s="986"/>
      <c r="H29" s="846" t="s">
        <v>2005</v>
      </c>
    </row>
    <row customHeight="1" ht="36">
      <c r="A30" s="846" t="s">
        <v>2006</v>
      </c>
      <c r="B30" s="846"/>
      <c r="C30" s="98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6" t="s">
        <v>2007</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6"/>
      <c r="G30" s="986"/>
      <c r="H30" s="986"/>
    </row>
    <row customHeight="1" ht="54">
      <c r="A31" s="846" t="s">
        <v>2008</v>
      </c>
      <c r="B31" s="846"/>
      <c r="C31" s="98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6" t="s">
        <v>2009</v>
      </c>
      <c r="E31" s="84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6"/>
      <c r="G31" s="986"/>
      <c r="H31" s="986"/>
    </row>
    <row customHeight="1" ht="198">
      <c r="A32" s="846" t="s">
        <v>2010</v>
      </c>
      <c r="B32" s="846"/>
      <c r="C32" s="98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6" t="s">
        <v>2011</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6"/>
      <c r="G32" s="986"/>
      <c r="H32" s="846" t="s">
        <v>2012</v>
      </c>
    </row>
    <row customHeight="1" ht="9">
      <c r="A33" s="846"/>
      <c r="B33" s="846"/>
      <c r="C33" s="984"/>
      <c r="D33" s="846"/>
      <c r="E33" s="846"/>
      <c r="F33" s="986"/>
      <c r="G33" s="986"/>
      <c r="H33" s="986"/>
    </row>
    <row customHeight="1" ht="9">
      <c r="A34" s="846"/>
      <c r="B34" s="846" t="s">
        <v>1510</v>
      </c>
      <c r="C34" s="984">
        <f>INDEX(TEMPLATE_NAME_FORM_LIST,B34,MATCH(TEMPLATE_SPHERE,TEMPLATE_SPHERE_LIST,0))</f>
        <v>0</v>
      </c>
      <c r="D34" s="846"/>
      <c r="E34" s="846"/>
      <c r="F34" s="986"/>
      <c r="G34" s="986"/>
      <c r="H34" s="986"/>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706D509-9EA8-C26E-02A8-C3DAD531AD3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2013</v>
      </c>
      <c r="D1" s="898"/>
      <c r="E1" s="898"/>
      <c r="F1" s="898"/>
      <c r="G1" s="898"/>
      <c r="H1" s="898" t="s">
        <v>2014</v>
      </c>
      <c r="I1" s="898"/>
      <c r="J1" s="898"/>
      <c r="K1" s="898"/>
      <c r="L1" s="898"/>
      <c r="M1" s="898" t="s">
        <v>2015</v>
      </c>
      <c r="N1" s="898" t="s">
        <v>2016</v>
      </c>
      <c r="O1" s="2592" t="s">
        <v>2017</v>
      </c>
      <c r="P1" s="2592"/>
      <c r="Q1" s="2592"/>
      <c r="R1" s="2592"/>
      <c r="S1" s="2592"/>
      <c r="T1" s="2592" t="s">
        <v>2015</v>
      </c>
      <c r="U1" s="2592"/>
      <c r="V1" s="2592"/>
      <c r="W1" s="2592"/>
      <c r="X1" s="2592"/>
      <c r="Y1" s="999"/>
      <c r="Z1" s="2592" t="s">
        <v>2018</v>
      </c>
      <c r="AA1" s="2592"/>
      <c r="AB1" s="2592"/>
      <c r="AC1" s="2592"/>
      <c r="AD1" s="2592"/>
    </row>
    <row customHeight="1" ht="18">
      <c r="A2" s="846"/>
      <c r="B2" s="846"/>
      <c r="C2" s="841" t="s">
        <v>815</v>
      </c>
      <c r="D2" s="841" t="s">
        <v>861</v>
      </c>
      <c r="E2" s="841" t="s">
        <v>914</v>
      </c>
      <c r="F2" s="841" t="s">
        <v>901</v>
      </c>
      <c r="G2" s="841" t="s">
        <v>1622</v>
      </c>
      <c r="H2" s="843"/>
      <c r="I2" s="843"/>
      <c r="J2" s="843"/>
      <c r="K2" s="843"/>
      <c r="L2" s="843"/>
      <c r="M2" s="843"/>
      <c r="N2" s="843"/>
      <c r="O2" s="841" t="s">
        <v>815</v>
      </c>
      <c r="P2" s="841" t="s">
        <v>861</v>
      </c>
      <c r="Q2" s="841" t="s">
        <v>901</v>
      </c>
      <c r="R2" s="841" t="s">
        <v>914</v>
      </c>
      <c r="S2" s="841" t="s">
        <v>1622</v>
      </c>
      <c r="T2" s="841" t="s">
        <v>815</v>
      </c>
      <c r="U2" s="841" t="s">
        <v>861</v>
      </c>
      <c r="V2" s="841" t="s">
        <v>901</v>
      </c>
      <c r="W2" s="841" t="s">
        <v>914</v>
      </c>
      <c r="X2" s="841" t="s">
        <v>1622</v>
      </c>
      <c r="Y2" s="841"/>
      <c r="Z2" s="841" t="s">
        <v>815</v>
      </c>
      <c r="AA2" s="850" t="s">
        <v>861</v>
      </c>
      <c r="AB2" s="841" t="s">
        <v>901</v>
      </c>
      <c r="AC2" s="841" t="s">
        <v>914</v>
      </c>
      <c r="AD2" s="841" t="s">
        <v>1622</v>
      </c>
    </row>
    <row customHeight="1" ht="162">
      <c r="A3" s="845" t="s">
        <v>26</v>
      </c>
      <c r="B3" s="845"/>
      <c r="C3" s="2596" t="s">
        <v>2019</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3"/>
      <c r="P3" s="843"/>
      <c r="Q3" s="843"/>
      <c r="R3" s="843"/>
      <c r="S3" s="843"/>
      <c r="T3" s="843"/>
      <c r="U3" s="843"/>
      <c r="V3" s="843"/>
      <c r="W3" s="843"/>
      <c r="X3" s="843"/>
      <c r="Y3" s="1000"/>
      <c r="Z3" s="846" t="s">
        <v>2020</v>
      </c>
      <c r="AA3" s="843" t="s">
        <v>2021</v>
      </c>
      <c r="AB3" s="846" t="s">
        <v>2022</v>
      </c>
      <c r="AC3" s="846" t="s">
        <v>2023</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1561</v>
      </c>
      <c r="D11" s="2599" t="s">
        <v>1557</v>
      </c>
      <c r="E11" s="2599" t="s">
        <v>1655</v>
      </c>
      <c r="F11" s="2599" t="s">
        <v>47</v>
      </c>
      <c r="G11" s="2599"/>
      <c r="H11" s="898" t="s">
        <v>2024</v>
      </c>
      <c r="I11" s="898"/>
      <c r="J11" s="898"/>
      <c r="K11" s="898"/>
      <c r="L11" s="898"/>
      <c r="M11" s="844" t="str">
        <f>IF(TEMPLATE_SPHERE="HEAT",T11,U11)</f>
        <v>Количество поданных заявок</v>
      </c>
      <c r="N11" s="844"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3"/>
      <c r="P11" s="843"/>
      <c r="Q11" s="843"/>
      <c r="R11" s="843"/>
      <c r="S11" s="843"/>
      <c r="T11" s="843" t="s">
        <v>2025</v>
      </c>
      <c r="U11" s="843" t="s">
        <v>2026</v>
      </c>
      <c r="V11" s="843"/>
      <c r="W11" s="843"/>
      <c r="X11" s="843"/>
      <c r="Y11" s="1000"/>
      <c r="Z11" s="846" t="s">
        <v>2027</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6"/>
      <c r="AC11" s="846"/>
      <c r="AD11" s="846"/>
    </row>
    <row customHeight="1" ht="45">
      <c r="A12" s="2593"/>
      <c r="B12" s="899">
        <v>2</v>
      </c>
      <c r="C12" s="2600"/>
      <c r="D12" s="2600"/>
      <c r="E12" s="2600"/>
      <c r="F12" s="2600"/>
      <c r="G12" s="2600"/>
      <c r="H12" s="898" t="s">
        <v>2028</v>
      </c>
      <c r="I12" s="898"/>
      <c r="J12" s="898"/>
      <c r="K12" s="898"/>
      <c r="L12" s="898"/>
      <c r="M12" s="844" t="str">
        <f>IF(TEMPLATE_SPHERE="HEAT",T12,U12)</f>
        <v>Количество рассмотренных заявок</v>
      </c>
      <c r="N12" s="844"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3"/>
      <c r="P12" s="843"/>
      <c r="Q12" s="843"/>
      <c r="R12" s="843"/>
      <c r="S12" s="843"/>
      <c r="T12" s="843" t="s">
        <v>2029</v>
      </c>
      <c r="U12" s="843" t="s">
        <v>2030</v>
      </c>
      <c r="V12" s="843"/>
      <c r="W12" s="843"/>
      <c r="X12" s="843"/>
      <c r="Y12" s="1000"/>
      <c r="Z12" s="846" t="s">
        <v>2031</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6"/>
      <c r="AC12" s="846"/>
      <c r="AD12" s="846"/>
    </row>
    <row customHeight="1" ht="72">
      <c r="A13" s="2593"/>
      <c r="B13" s="899">
        <v>3</v>
      </c>
      <c r="C13" s="2600"/>
      <c r="D13" s="2600"/>
      <c r="E13" s="2600"/>
      <c r="F13" s="2600"/>
      <c r="G13" s="2600"/>
      <c r="H13" s="2592" t="s">
        <v>2032</v>
      </c>
      <c r="I13" s="898"/>
      <c r="J13" s="898"/>
      <c r="K13" s="898"/>
      <c r="L13" s="898"/>
      <c r="M13" s="84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4" t="str">
        <f>IF(TEMPLATE_SPHERE="HEAT",Z13,AA13)</f>
        <v>Указывается количество заявок с решением об отказе в течение отчетного квартала.</v>
      </c>
      <c r="O13" s="843"/>
      <c r="P13" s="844"/>
      <c r="Q13" s="844"/>
      <c r="R13" s="844"/>
      <c r="S13" s="843"/>
      <c r="T13" s="843" t="s">
        <v>2033</v>
      </c>
      <c r="U13" s="844" t="s">
        <v>2034</v>
      </c>
      <c r="V13" s="844"/>
      <c r="W13" s="844"/>
      <c r="X13" s="843"/>
      <c r="Y13" s="1000"/>
      <c r="Z13" s="846" t="s">
        <v>2035</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системе теплоснабжения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2036</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4"/>
      <c r="W14" s="844"/>
      <c r="X14" s="843"/>
      <c r="Y14" s="1000"/>
      <c r="Z14" s="846" t="s">
        <v>2037</v>
      </c>
      <c r="AA14" s="849" t="s">
        <v>2037</v>
      </c>
      <c r="AB14" s="846"/>
      <c r="AC14" s="846"/>
      <c r="AD14" s="846"/>
    </row>
    <row customHeight="1" ht="108">
      <c r="A15" s="2593"/>
      <c r="B15" s="899">
        <v>5</v>
      </c>
      <c r="C15" s="2600"/>
      <c r="D15" s="2600"/>
      <c r="E15" s="2600"/>
      <c r="F15" s="2600"/>
      <c r="G15" s="2600"/>
      <c r="H15" s="2594" t="s">
        <v>2038</v>
      </c>
      <c r="I15" s="900"/>
      <c r="J15" s="900"/>
      <c r="K15" s="900"/>
      <c r="L15" s="900"/>
      <c r="M15" s="849" t="str">
        <f>IF(TEMPLATE_SPHERE="HEAT",T15,U15)</f>
        <v>Резерв мощности источников тепловой энергии, входящих в систему теплоснабжения, в течение одного квартала, в том числе:</v>
      </c>
      <c r="N15" s="848"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3"/>
      <c r="P15" s="844"/>
      <c r="Q15" s="844"/>
      <c r="R15" s="844"/>
      <c r="S15" s="843"/>
      <c r="T15" s="843" t="s">
        <v>2039</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4"/>
      <c r="W15" s="844"/>
      <c r="X15" s="843"/>
      <c r="Y15" s="1000"/>
      <c r="Z15" s="846" t="s">
        <v>2040</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3"/>
      <c r="P16" s="844"/>
      <c r="Q16" s="844"/>
      <c r="R16" s="844"/>
      <c r="S16" s="843"/>
      <c r="T16" s="843"/>
      <c r="U16" s="844"/>
      <c r="V16" s="844"/>
      <c r="W16" s="844"/>
      <c r="X16" s="843"/>
      <c r="Y16" s="1000"/>
      <c r="Z16" s="846" t="s">
        <v>2040</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1658</v>
      </c>
      <c r="B18" s="899">
        <v>1</v>
      </c>
      <c r="C18" s="843" t="s">
        <v>2024</v>
      </c>
      <c r="D18" s="967" t="s">
        <v>2024</v>
      </c>
      <c r="E18" s="843" t="s">
        <v>2024</v>
      </c>
      <c r="F18" s="843" t="s">
        <v>2024</v>
      </c>
      <c r="G18" s="843"/>
      <c r="H18" s="1002"/>
      <c r="I18" s="1005">
        <f>INDEX(TEMPLATE_NUMBER_POINT_FHD,B18,MATCH(TEMPLATE_SPHERE,TEMPLATE_SPHERE_LIST_FOR_NOTE,0))</f>
        <v>1</v>
      </c>
      <c r="J18" s="1005" t="str">
        <f>INDEX(TEMPLATE_DATA_POINT_FHD,B18,MATCH(TEMPLATE_SPHERE,TEMPLATE_SPHERE_LIST_FOR_NOTE,0))</f>
        <v>Выручка от регулируемого вида деятельности с распределением по видам деятельности</v>
      </c>
      <c r="K18" s="1005"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4">
        <f>IF(I18=0,"",I18)</f>
        <v>1</v>
      </c>
      <c r="M18" s="844" t="str">
        <f>IF(J18=0,"",J18)</f>
        <v>Выручка от регулируемого вида деятельности с распределением по видам деятельности</v>
      </c>
      <c r="N18" s="844" t="str">
        <f>IF(K18=0,"",K18)</f>
        <v>Указывается выручка от регулируемого вида деятельности с распределением по видам деятельности.</v>
      </c>
      <c r="O18" s="957">
        <v>1</v>
      </c>
      <c r="P18" s="957">
        <v>1</v>
      </c>
      <c r="Q18" s="957">
        <v>1</v>
      </c>
      <c r="R18" s="957">
        <v>1</v>
      </c>
      <c r="S18" s="957"/>
      <c r="T18" s="964" t="s">
        <v>2041</v>
      </c>
      <c r="U18" s="846" t="s">
        <v>2042</v>
      </c>
      <c r="V18" s="846" t="s">
        <v>2043</v>
      </c>
      <c r="W18" s="846" t="s">
        <v>2044</v>
      </c>
      <c r="X18" s="843"/>
      <c r="Y18" s="1000"/>
      <c r="Z18" s="846" t="s">
        <v>2045</v>
      </c>
      <c r="AA18" s="849" t="s">
        <v>2046</v>
      </c>
      <c r="AB18" s="849" t="s">
        <v>2046</v>
      </c>
      <c r="AC18" s="849" t="s">
        <v>2046</v>
      </c>
      <c r="AD18" s="846"/>
    </row>
    <row customHeight="1" ht="36">
      <c r="A19" s="845"/>
      <c r="B19" s="899">
        <v>2</v>
      </c>
      <c r="C19" s="843" t="s">
        <v>2028</v>
      </c>
      <c r="D19" s="967" t="s">
        <v>2028</v>
      </c>
      <c r="E19" s="843" t="s">
        <v>2028</v>
      </c>
      <c r="F19" s="843" t="s">
        <v>2028</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регулируемому виду деятельности, включая:</v>
      </c>
      <c r="N19" s="844" t="str">
        <f>IF(K19=0,"",K19)</f>
        <v>Указывается суммарная себестоимость производимых товаров.</v>
      </c>
      <c r="O19" s="957">
        <v>2</v>
      </c>
      <c r="P19" s="957">
        <v>2</v>
      </c>
      <c r="Q19" s="957">
        <v>2</v>
      </c>
      <c r="R19" s="957">
        <v>2</v>
      </c>
      <c r="S19" s="957"/>
      <c r="T19" s="964" t="s">
        <v>2047</v>
      </c>
      <c r="U19" s="846" t="s">
        <v>2048</v>
      </c>
      <c r="V19" s="846" t="s">
        <v>2049</v>
      </c>
      <c r="W19" s="846" t="s">
        <v>2050</v>
      </c>
      <c r="X19" s="843"/>
      <c r="Y19" s="1000"/>
      <c r="Z19" s="846" t="s">
        <v>2051</v>
      </c>
      <c r="AA19" s="849" t="s">
        <v>2051</v>
      </c>
      <c r="AB19" s="849" t="s">
        <v>2051</v>
      </c>
      <c r="AC19" s="849" t="s">
        <v>2051</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приобретаемую тепловую энергию (мощность), теплоноситель</v>
      </c>
      <c r="K20" s="1005">
        <f>INDEX(TEMPLATE_NOTE_POINT_FHD,B20,MATCH(TEMPLATE_SPHERE,TEMPLATE_SPHERE_LIST_FOR_NOTE,0))</f>
        <v>0</v>
      </c>
      <c r="L20" s="844" t="str">
        <f>IF(I20=0,"",I20)</f>
        <v>2.1</v>
      </c>
      <c r="M20" s="844" t="str">
        <f>IF(J20=0,"",J20)</f>
        <v>Расходы на приобретаемую тепловую энергию (мощность), теплоноситель</v>
      </c>
      <c r="N20" s="844" t="str">
        <f>IF(K20=0,"",K20)</f>
        <v/>
      </c>
      <c r="O20" s="957" t="s">
        <v>716</v>
      </c>
      <c r="P20" s="957" t="s">
        <v>716</v>
      </c>
      <c r="Q20" s="957" t="s">
        <v>716</v>
      </c>
      <c r="R20" s="957" t="s">
        <v>716</v>
      </c>
      <c r="S20" s="957"/>
      <c r="T20" s="964" t="s">
        <v>2052</v>
      </c>
      <c r="U20" s="846" t="s">
        <v>2053</v>
      </c>
      <c r="V20" s="846" t="s">
        <v>2054</v>
      </c>
      <c r="W20" s="846" t="s">
        <v>2055</v>
      </c>
      <c r="X20" s="843"/>
      <c r="Y20" s="1000"/>
      <c r="Z20" s="846"/>
      <c r="AA20" s="849"/>
      <c r="AB20" s="846"/>
      <c r="AC20" s="846"/>
      <c r="AD20" s="846"/>
    </row>
    <row customHeight="1" ht="36">
      <c r="A21" s="845"/>
      <c r="B21" s="899">
        <v>4</v>
      </c>
      <c r="C21" s="843">
        <v>2</v>
      </c>
      <c r="D21" s="967"/>
      <c r="E21" s="843"/>
      <c r="F21" s="843"/>
      <c r="G21" s="843"/>
      <c r="H21" s="1002"/>
      <c r="I21" s="1005" t="str">
        <f>INDEX(TEMPLATE_NUMBER_POINT_FHD,B21,MATCH(TEMPLATE_SPHERE,TEMPLATE_SPHERE_LIST_FOR_NOTE,0))</f>
        <v>2.2</v>
      </c>
      <c r="J21" s="1005"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5" t="str">
        <f>INDEX(TEMPLATE_NOTE_POINT_FHD,B21,MATCH(TEMPLATE_SPHERE,TEMPLATE_SPHERE_LIST_FOR_NOTE,0))</f>
        <v>Указываются суммарные расходы на приобретение топлива всех видов.</v>
      </c>
      <c r="L21" s="844" t="str">
        <f>IF(I21=0,"",I21)</f>
        <v>2.2</v>
      </c>
      <c r="M21" s="844"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4" t="str">
        <f>IF(K21=0,"",K21)</f>
        <v>Указываются суммарные расходы на приобретение топлива всех видов.</v>
      </c>
      <c r="O21" s="957" t="s">
        <v>315</v>
      </c>
      <c r="P21" s="957"/>
      <c r="Q21" s="957"/>
      <c r="R21" s="957"/>
      <c r="S21" s="957"/>
      <c r="T21" s="964" t="s">
        <v>2056</v>
      </c>
      <c r="U21" s="846"/>
      <c r="V21" s="846"/>
      <c r="W21" s="846"/>
      <c r="X21" s="843"/>
      <c r="Y21" s="1000"/>
      <c r="Z21" s="846" t="s">
        <v>2057</v>
      </c>
      <c r="AA21" s="849"/>
      <c r="AB21" s="846"/>
      <c r="AC21" s="846"/>
      <c r="AD21" s="846"/>
    </row>
    <row customHeight="1" ht="36">
      <c r="A22" s="845"/>
      <c r="B22" s="899">
        <v>5</v>
      </c>
      <c r="C22" s="843">
        <v>3</v>
      </c>
      <c r="D22" s="967"/>
      <c r="E22" s="843"/>
      <c r="F22" s="843"/>
      <c r="G22" s="891"/>
      <c r="H22" s="958"/>
      <c r="I22" s="1005">
        <f>INDEX(TEMPLATE_NUMBER_POINT_FHD,B22,MATCH(TEMPLATE_SPHERE,TEMPLATE_SPHERE_LIST_FOR_NOTE,0))</f>
        <v>0</v>
      </c>
      <c r="J22" s="1005">
        <f>INDEX(TEMPLATE_DATA_POINT_FHD,B22,MATCH(TEMPLATE_SPHERE,TEMPLATE_SPHERE_LIST_FOR_NOTE,0))</f>
        <v>0</v>
      </c>
      <c r="K22" s="1005">
        <f>INDEX(TEMPLATE_NOTE_POINT_FHD,B22,MATCH(TEMPLATE_SPHERE,TEMPLATE_SPHERE_LIST_FOR_NOTE,0))</f>
        <v>0</v>
      </c>
      <c r="L22" s="844" t="str">
        <f>IF(I22=0,"",I22)</f>
        <v/>
      </c>
      <c r="M22" s="844" t="str">
        <f>IF(J22=0,"",J22)</f>
        <v/>
      </c>
      <c r="N22" s="844" t="str">
        <f>IF(K22=0,"",K22)</f>
        <v/>
      </c>
      <c r="O22" s="957"/>
      <c r="P22" s="957"/>
      <c r="Q22" s="957" t="s">
        <v>315</v>
      </c>
      <c r="R22" s="957"/>
      <c r="S22" s="957"/>
      <c r="T22" s="964"/>
      <c r="U22" s="846"/>
      <c r="V22" s="846" t="s">
        <v>2058</v>
      </c>
      <c r="W22" s="846"/>
      <c r="X22" s="843"/>
      <c r="Y22" s="1000"/>
      <c r="Z22" s="846"/>
      <c r="AA22" s="849"/>
      <c r="AB22" s="846"/>
      <c r="AC22" s="846"/>
      <c r="AD22" s="846"/>
    </row>
    <row customHeight="1" ht="27">
      <c r="A23" s="845"/>
      <c r="B23" s="899">
        <v>6</v>
      </c>
      <c r="C23" s="843">
        <v>4</v>
      </c>
      <c r="D23" s="967"/>
      <c r="E23" s="843"/>
      <c r="F23" s="843"/>
      <c r="G23" s="891"/>
      <c r="H23" s="958"/>
      <c r="I23" s="1005">
        <f>INDEX(TEMPLATE_NUMBER_POINT_FHD,B23,MATCH(TEMPLATE_SPHERE,TEMPLATE_SPHERE_LIST_FOR_NOTE,0))</f>
        <v>0</v>
      </c>
      <c r="J23" s="1005">
        <f>INDEX(TEMPLATE_DATA_POINT_FHD,B23,MATCH(TEMPLATE_SPHERE,TEMPLATE_SPHERE_LIST_FOR_NOTE,0))</f>
        <v>0</v>
      </c>
      <c r="K23" s="1005">
        <f>INDEX(TEMPLATE_NOTE_POINT_FHD,B23,MATCH(TEMPLATE_SPHERE,TEMPLATE_SPHERE_LIST_FOR_NOTE,0))</f>
        <v>0</v>
      </c>
      <c r="L23" s="844" t="str">
        <f>IF(I23=0,"",I23)</f>
        <v/>
      </c>
      <c r="M23" s="844" t="str">
        <f>IF(J23=0,"",J23)</f>
        <v/>
      </c>
      <c r="N23" s="844" t="str">
        <f>IF(K23=0,"",K23)</f>
        <v/>
      </c>
      <c r="O23" s="957"/>
      <c r="P23" s="957"/>
      <c r="Q23" s="957" t="s">
        <v>318</v>
      </c>
      <c r="R23" s="957"/>
      <c r="S23" s="957"/>
      <c r="T23" s="964"/>
      <c r="U23" s="846"/>
      <c r="V23" s="846" t="s">
        <v>2059</v>
      </c>
      <c r="W23" s="846"/>
      <c r="X23" s="843"/>
      <c r="Y23" s="1000"/>
      <c r="Z23" s="846"/>
      <c r="AA23" s="849"/>
      <c r="AB23" s="846"/>
      <c r="AC23" s="846"/>
      <c r="AD23" s="846"/>
    </row>
    <row customHeight="1" ht="36">
      <c r="A24" s="845"/>
      <c r="B24" s="899">
        <v>7</v>
      </c>
      <c r="C24" s="843">
        <v>5</v>
      </c>
      <c r="D24" s="967"/>
      <c r="E24" s="843"/>
      <c r="F24" s="843"/>
      <c r="G24" s="891"/>
      <c r="H24" s="958"/>
      <c r="I24" s="1005">
        <f>INDEX(TEMPLATE_NUMBER_POINT_FHD,B24,MATCH(TEMPLATE_SPHERE,TEMPLATE_SPHERE_LIST_FOR_NOTE,0))</f>
        <v>0</v>
      </c>
      <c r="J24" s="1005">
        <f>INDEX(TEMPLATE_DATA_POINT_FHD,B24,MATCH(TEMPLATE_SPHERE,TEMPLATE_SPHERE_LIST_FOR_NOTE,0))</f>
        <v>0</v>
      </c>
      <c r="K24" s="1005">
        <f>INDEX(TEMPLATE_NOTE_POINT_FHD,B24,MATCH(TEMPLATE_SPHERE,TEMPLATE_SPHERE_LIST_FOR_NOTE,0))</f>
        <v>0</v>
      </c>
      <c r="L24" s="844" t="str">
        <f>IF(I24=0,"",I24)</f>
        <v/>
      </c>
      <c r="M24" s="844" t="str">
        <f>IF(J24=0,"",J24)</f>
        <v/>
      </c>
      <c r="N24" s="844" t="str">
        <f>IF(K24=0,"",K24)</f>
        <v/>
      </c>
      <c r="O24" s="957"/>
      <c r="P24" s="957"/>
      <c r="Q24" s="957" t="s">
        <v>736</v>
      </c>
      <c r="R24" s="957"/>
      <c r="S24" s="957"/>
      <c r="T24" s="964"/>
      <c r="U24" s="846"/>
      <c r="V24" s="846" t="s">
        <v>2060</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2.3</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2.3</v>
      </c>
      <c r="M25" s="844" t="str">
        <f>IF(J25=0,"",J25)</f>
        <v>Расходы на приобретаемую электрическую энергию (мощность), используемую в технологическом процессе</v>
      </c>
      <c r="N25" s="844" t="str">
        <f>IF(K25=0,"",K25)</f>
        <v/>
      </c>
      <c r="O25" s="957" t="s">
        <v>318</v>
      </c>
      <c r="P25" s="957" t="s">
        <v>315</v>
      </c>
      <c r="Q25" s="957" t="s">
        <v>743</v>
      </c>
      <c r="R25" s="957" t="s">
        <v>315</v>
      </c>
      <c r="S25" s="957"/>
      <c r="T25" s="964" t="s">
        <v>2061</v>
      </c>
      <c r="U25" s="846" t="s">
        <v>2061</v>
      </c>
      <c r="V25" s="846" t="s">
        <v>2061</v>
      </c>
      <c r="W25" s="846" t="s">
        <v>2061</v>
      </c>
      <c r="X25" s="843"/>
      <c r="Y25" s="1000"/>
      <c r="Z25" s="846"/>
      <c r="AA25" s="849"/>
      <c r="AB25" s="846"/>
      <c r="AC25" s="846"/>
      <c r="AD25" s="846"/>
    </row>
    <row customHeight="1" ht="18">
      <c r="A26" s="845"/>
      <c r="B26" s="899">
        <v>9</v>
      </c>
      <c r="C26" s="843" t="s">
        <v>660</v>
      </c>
      <c r="D26" s="967"/>
      <c r="E26" s="843"/>
      <c r="F26" s="843"/>
      <c r="G26" s="891"/>
      <c r="H26" s="958"/>
      <c r="I26" s="1005" t="str">
        <f>INDEX(TEMPLATE_NUMBER_POINT_FHD,B26,MATCH(TEMPLATE_SPHERE,TEMPLATE_SPHERE_LIST_FOR_NOTE,0))</f>
        <v>2.3.1</v>
      </c>
      <c r="J26" s="1005" t="str">
        <f>INDEX(TEMPLATE_DATA_POINT_FHD,B26,MATCH(TEMPLATE_SPHERE,TEMPLATE_SPHERE_LIST_FOR_NOTE,0))</f>
        <v>Средневзвешенная стоимость 1 кВт.ч (с учетом мощности)</v>
      </c>
      <c r="K26" s="1005">
        <f>INDEX(TEMPLATE_NOTE_POINT_FHD,B26,MATCH(TEMPLATE_SPHERE,TEMPLATE_SPHERE_LIST_FOR_NOTE,0))</f>
        <v>0</v>
      </c>
      <c r="L26" s="844" t="str">
        <f>IF(I26=0,"",I26)</f>
        <v>2.3.1</v>
      </c>
      <c r="M26" s="844" t="str">
        <f>IF(J26=0,"",J26)</f>
        <v>Средневзвешенная стоимость 1 кВт.ч (с учетом мощности)</v>
      </c>
      <c r="N26" s="844" t="str">
        <f>IF(K26=0,"",K26)</f>
        <v/>
      </c>
      <c r="O26" s="957" t="s">
        <v>732</v>
      </c>
      <c r="P26" s="957" t="s">
        <v>726</v>
      </c>
      <c r="Q26" s="957" t="s">
        <v>2062</v>
      </c>
      <c r="R26" s="957" t="s">
        <v>726</v>
      </c>
      <c r="S26" s="957"/>
      <c r="T26" s="964"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4" t="s">
        <v>2063</v>
      </c>
      <c r="V26" s="964" t="s">
        <v>2063</v>
      </c>
      <c r="W26" s="964" t="s">
        <v>2063</v>
      </c>
      <c r="X26" s="843"/>
      <c r="Y26" s="1000"/>
      <c r="Z26" s="846"/>
      <c r="AA26" s="849"/>
      <c r="AB26" s="846"/>
      <c r="AC26" s="846"/>
      <c r="AD26" s="846"/>
    </row>
    <row customHeight="1" ht="18">
      <c r="A27" s="845"/>
      <c r="B27" s="899">
        <v>10</v>
      </c>
      <c r="C27" s="843" t="s">
        <v>664</v>
      </c>
      <c r="D27" s="967"/>
      <c r="E27" s="843"/>
      <c r="F27" s="843"/>
      <c r="G27" s="891"/>
      <c r="H27" s="958"/>
      <c r="I27" s="1005" t="str">
        <f>INDEX(TEMPLATE_NUMBER_POINT_FHD,B27,MATCH(TEMPLATE_SPHERE,TEMPLATE_SPHERE_LIST_FOR_NOTE,0))</f>
        <v>2.3.2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2.3.2</v>
      </c>
      <c r="M27" s="844" t="str">
        <f>IF(J27=0,"",J27)</f>
        <v>Объём приобретения электрической энергии</v>
      </c>
      <c r="N27" s="844" t="str">
        <f>IF(K27=0,"",K27)</f>
        <v/>
      </c>
      <c r="O27" s="957" t="s">
        <v>734</v>
      </c>
      <c r="P27" s="957" t="s">
        <v>728</v>
      </c>
      <c r="Q27" s="957" t="s">
        <v>2064</v>
      </c>
      <c r="R27" s="957" t="s">
        <v>728</v>
      </c>
      <c r="S27" s="957"/>
      <c r="T27" s="964" t="s">
        <v>2065</v>
      </c>
      <c r="U27" s="964" t="s">
        <v>2065</v>
      </c>
      <c r="V27" s="964" t="s">
        <v>2065</v>
      </c>
      <c r="W27" s="964" t="s">
        <v>2065</v>
      </c>
      <c r="X27" s="843"/>
      <c r="Y27" s="1000"/>
      <c r="Z27" s="846"/>
      <c r="AA27" s="849"/>
      <c r="AB27" s="846"/>
      <c r="AC27" s="846"/>
      <c r="AD27" s="846"/>
    </row>
    <row customHeight="1" ht="27">
      <c r="A28" s="845"/>
      <c r="B28" s="899">
        <v>11</v>
      </c>
      <c r="C28" s="843">
        <v>7</v>
      </c>
      <c r="D28" s="967"/>
      <c r="E28" s="843"/>
      <c r="F28" s="843"/>
      <c r="G28" s="891"/>
      <c r="H28" s="958"/>
      <c r="I28" s="1005" t="str">
        <f>INDEX(TEMPLATE_NUMBER_POINT_FHD,B28,MATCH(TEMPLATE_SPHERE,TEMPLATE_SPHERE_LIST_FOR_NOTE,0))</f>
        <v>2.4</v>
      </c>
      <c r="J28" s="1005" t="str">
        <f>INDEX(TEMPLATE_DATA_POINT_FHD,B28,MATCH(TEMPLATE_SPHERE,TEMPLATE_SPHERE_LIST_FOR_NOTE,0))</f>
        <v>Расходы на приобретение холодной воды, используемой в технологическом процессе</v>
      </c>
      <c r="K28" s="1005">
        <f>INDEX(TEMPLATE_NOTE_POINT_FHD,B28,MATCH(TEMPLATE_SPHERE,TEMPLATE_SPHERE_LIST_FOR_NOTE,0))</f>
        <v>0</v>
      </c>
      <c r="L28" s="844" t="str">
        <f>IF(I28=0,"",I28)</f>
        <v>2.4</v>
      </c>
      <c r="M28" s="844" t="str">
        <f>IF(J28=0,"",J28)</f>
        <v>Расходы на приобретение холодной воды, используемой в технологическом процессе</v>
      </c>
      <c r="N28" s="844" t="str">
        <f>IF(K28=0,"",K28)</f>
        <v/>
      </c>
      <c r="O28" s="957" t="s">
        <v>736</v>
      </c>
      <c r="P28" s="957"/>
      <c r="Q28" s="957"/>
      <c r="R28" s="957"/>
      <c r="S28" s="957"/>
      <c r="T28" s="964" t="s">
        <v>2066</v>
      </c>
      <c r="U28" s="846"/>
      <c r="V28" s="846"/>
      <c r="W28" s="846"/>
      <c r="X28" s="843"/>
      <c r="Y28" s="1000"/>
      <c r="Z28" s="846"/>
      <c r="AA28" s="849"/>
      <c r="AB28" s="846"/>
      <c r="AC28" s="846"/>
      <c r="AD28" s="846"/>
    </row>
    <row customHeight="1" ht="27">
      <c r="A29" s="845"/>
      <c r="B29" s="899">
        <v>12</v>
      </c>
      <c r="C29" s="843">
        <v>8</v>
      </c>
      <c r="D29" s="967"/>
      <c r="E29" s="843"/>
      <c r="F29" s="843"/>
      <c r="G29" s="891"/>
      <c r="H29" s="958"/>
      <c r="I29" s="1005" t="str">
        <f>INDEX(TEMPLATE_NUMBER_POINT_FHD,B29,MATCH(TEMPLATE_SPHERE,TEMPLATE_SPHERE_LIST_FOR_NOTE,0))</f>
        <v>2.5</v>
      </c>
      <c r="J29" s="1005" t="str">
        <f>INDEX(TEMPLATE_DATA_POINT_FHD,B29,MATCH(TEMPLATE_SPHERE,TEMPLATE_SPHERE_LIST_FOR_NOTE,0))</f>
        <v>Расходы на  химические реагенты, используемые в технологическом процессе</v>
      </c>
      <c r="K29" s="1005">
        <f>INDEX(TEMPLATE_NOTE_POINT_FHD,B29,MATCH(TEMPLATE_SPHERE,TEMPLATE_SPHERE_LIST_FOR_NOTE,0))</f>
        <v>0</v>
      </c>
      <c r="L29" s="844" t="str">
        <f>IF(I29=0,"",I29)</f>
        <v>2.5</v>
      </c>
      <c r="M29" s="844" t="str">
        <f>IF(J29=0,"",J29)</f>
        <v>Расходы на  химические реагенты, используемые в технологическом процессе</v>
      </c>
      <c r="N29" s="844" t="str">
        <f>IF(K29=0,"",K29)</f>
        <v/>
      </c>
      <c r="O29" s="957" t="s">
        <v>743</v>
      </c>
      <c r="P29" s="957" t="s">
        <v>318</v>
      </c>
      <c r="Q29" s="957"/>
      <c r="R29" s="957" t="s">
        <v>318</v>
      </c>
      <c r="S29" s="957"/>
      <c r="T29" s="96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6" t="s">
        <v>2067</v>
      </c>
      <c r="V29" s="846"/>
      <c r="W29" s="846" t="s">
        <v>2067</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2.6</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f>INDEX(TEMPLATE_NOTE_POINT_FHD,B30,MATCH(TEMPLATE_SPHERE,TEMPLATE_SPHERE_LIST_FOR_NOTE,0))</f>
        <v>0</v>
      </c>
      <c r="L30" s="844" t="str">
        <f>IF(I30=0,"",I30)</f>
        <v>2.6</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
      </c>
      <c r="O30" s="957" t="s">
        <v>745</v>
      </c>
      <c r="P30" s="957" t="s">
        <v>736</v>
      </c>
      <c r="Q30" s="957" t="s">
        <v>745</v>
      </c>
      <c r="R30" s="957" t="s">
        <v>736</v>
      </c>
      <c r="S30" s="957"/>
      <c r="T30" s="964" t="s">
        <v>2068</v>
      </c>
      <c r="U30" s="846" t="s">
        <v>2068</v>
      </c>
      <c r="V30" s="846" t="s">
        <v>2068</v>
      </c>
      <c r="W30" s="846" t="s">
        <v>2068</v>
      </c>
      <c r="X30" s="843"/>
      <c r="Y30" s="1000"/>
      <c r="Z30" s="846"/>
      <c r="AA30" s="849" t="s">
        <v>2069</v>
      </c>
      <c r="AB30" s="849" t="s">
        <v>2069</v>
      </c>
      <c r="AC30" s="849" t="s">
        <v>2069</v>
      </c>
      <c r="AD30" s="846"/>
    </row>
    <row customHeight="1" ht="18">
      <c r="A31" s="845"/>
      <c r="B31" s="899">
        <v>14</v>
      </c>
      <c r="C31" s="843" t="s">
        <v>2070</v>
      </c>
      <c r="D31" s="967"/>
      <c r="E31" s="843"/>
      <c r="F31" s="843"/>
      <c r="G31" s="891"/>
      <c r="H31" s="958"/>
      <c r="I31" s="1005" t="str">
        <f>INDEX(TEMPLATE_NUMBER_POINT_FHD,B31,MATCH(TEMPLATE_SPHERE,TEMPLATE_SPHERE_LIST_FOR_NOTE,0))</f>
        <v>2.6.1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2.6.1</v>
      </c>
      <c r="M31" s="844" t="str">
        <f>IF(J31=0,"",J31)</f>
        <v>Расходы на оплату труда основного производственного персонала</v>
      </c>
      <c r="N31" s="844" t="str">
        <f>IF(K31=0,"",K31)</f>
        <v/>
      </c>
      <c r="O31" s="957" t="s">
        <v>2071</v>
      </c>
      <c r="P31" s="957" t="s">
        <v>739</v>
      </c>
      <c r="Q31" s="957" t="s">
        <v>2071</v>
      </c>
      <c r="R31" s="957" t="s">
        <v>739</v>
      </c>
      <c r="S31" s="957"/>
      <c r="T31" s="965" t="s">
        <v>2072</v>
      </c>
      <c r="U31" s="846" t="s">
        <v>2072</v>
      </c>
      <c r="V31" s="846" t="s">
        <v>2072</v>
      </c>
      <c r="W31" s="846" t="s">
        <v>2072</v>
      </c>
      <c r="X31" s="843"/>
      <c r="Y31" s="1000"/>
      <c r="Z31" s="846"/>
      <c r="AA31" s="849"/>
      <c r="AB31" s="849"/>
      <c r="AC31" s="849"/>
      <c r="AD31" s="846"/>
    </row>
    <row customHeight="1" ht="36">
      <c r="A32" s="845"/>
      <c r="B32" s="899">
        <v>15</v>
      </c>
      <c r="C32" s="843" t="s">
        <v>2073</v>
      </c>
      <c r="D32" s="967"/>
      <c r="E32" s="843"/>
      <c r="F32" s="843"/>
      <c r="G32" s="891"/>
      <c r="H32" s="958"/>
      <c r="I32" s="1005" t="str">
        <f>INDEX(TEMPLATE_NUMBER_POINT_FHD,B32,MATCH(TEMPLATE_SPHERE,TEMPLATE_SPHERE_LIST_FOR_NOTE,0))</f>
        <v>2.6.2</v>
      </c>
      <c r="J32" s="100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2.6.2</v>
      </c>
      <c r="M32" s="844" t="str">
        <f>IF(J32=0,"",J32)</f>
        <v>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2074</v>
      </c>
      <c r="P32" s="957" t="s">
        <v>741</v>
      </c>
      <c r="Q32" s="957" t="s">
        <v>2074</v>
      </c>
      <c r="R32" s="957" t="s">
        <v>741</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6" t="s">
        <v>2075</v>
      </c>
      <c r="V32" s="846" t="s">
        <v>2075</v>
      </c>
      <c r="W32" s="846" t="s">
        <v>2075</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2.7</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5">
        <f>INDEX(TEMPLATE_NOTE_POINT_FHD,B33,MATCH(TEMPLATE_SPHERE,TEMPLATE_SPHERE_LIST_FOR_NOTE,0))</f>
        <v>0</v>
      </c>
      <c r="L33" s="844" t="str">
        <f>IF(I33=0,"",I33)</f>
        <v>2.7</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4" t="str">
        <f>IF(K33=0,"",K33)</f>
        <v/>
      </c>
      <c r="O33" s="957" t="s">
        <v>747</v>
      </c>
      <c r="P33" s="957" t="s">
        <v>743</v>
      </c>
      <c r="Q33" s="957" t="s">
        <v>747</v>
      </c>
      <c r="R33" s="957" t="s">
        <v>743</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6" t="s">
        <v>2076</v>
      </c>
      <c r="V33" s="846" t="s">
        <v>2076</v>
      </c>
      <c r="W33" s="846" t="s">
        <v>2077</v>
      </c>
      <c r="X33" s="843"/>
      <c r="Y33" s="1000"/>
      <c r="Z33" s="846"/>
      <c r="AA33" s="849" t="s">
        <v>2078</v>
      </c>
      <c r="AB33" s="849" t="s">
        <v>2078</v>
      </c>
      <c r="AC33" s="849" t="s">
        <v>2078</v>
      </c>
      <c r="AD33" s="846"/>
    </row>
    <row customHeight="1" ht="27">
      <c r="A34" s="845"/>
      <c r="B34" s="899">
        <v>17</v>
      </c>
      <c r="C34" s="843" t="s">
        <v>2079</v>
      </c>
      <c r="D34" s="967"/>
      <c r="E34" s="843"/>
      <c r="F34" s="843"/>
      <c r="G34" s="891"/>
      <c r="H34" s="958"/>
      <c r="I34" s="1005" t="str">
        <f>INDEX(TEMPLATE_NUMBER_POINT_FHD,B34,MATCH(TEMPLATE_SPHERE,TEMPLATE_SPHERE_LIST_FOR_NOTE,0))</f>
        <v>2.7.1</v>
      </c>
      <c r="J34" s="1005" t="str">
        <f>INDEX(TEMPLATE_DATA_POINT_FHD,B34,MATCH(TEMPLATE_SPHERE,TEMPLATE_SPHERE_LIST_FOR_NOTE,0))</f>
        <v>Расходы на оплату труда административно-управленческого персонала</v>
      </c>
      <c r="K34" s="1005">
        <f>INDEX(TEMPLATE_NOTE_POINT_FHD,B34,MATCH(TEMPLATE_SPHERE,TEMPLATE_SPHERE_LIST_FOR_NOTE,0))</f>
        <v>0</v>
      </c>
      <c r="L34" s="844" t="str">
        <f>IF(I34=0,"",I34)</f>
        <v>2.7.1</v>
      </c>
      <c r="M34" s="844" t="str">
        <f>IF(J34=0,"",J34)</f>
        <v>Расходы на оплату труда административно-управленческого персонала</v>
      </c>
      <c r="N34" s="844" t="str">
        <f>IF(K34=0,"",K34)</f>
        <v/>
      </c>
      <c r="O34" s="957" t="s">
        <v>2080</v>
      </c>
      <c r="P34" s="957" t="s">
        <v>2062</v>
      </c>
      <c r="Q34" s="957" t="s">
        <v>2080</v>
      </c>
      <c r="R34" s="957" t="s">
        <v>2062</v>
      </c>
      <c r="S34" s="957"/>
      <c r="T34" s="966" t="s">
        <v>2081</v>
      </c>
      <c r="U34" s="846" t="s">
        <v>2081</v>
      </c>
      <c r="V34" s="846" t="s">
        <v>2081</v>
      </c>
      <c r="W34" s="846" t="s">
        <v>2082</v>
      </c>
      <c r="X34" s="843"/>
      <c r="Y34" s="1000"/>
      <c r="Z34" s="846"/>
      <c r="AA34" s="849"/>
      <c r="AB34" s="846"/>
      <c r="AC34" s="846"/>
      <c r="AD34" s="846"/>
    </row>
    <row customHeight="1" ht="45">
      <c r="A35" s="845"/>
      <c r="B35" s="899">
        <v>18</v>
      </c>
      <c r="C35" s="843" t="s">
        <v>2083</v>
      </c>
      <c r="D35" s="967"/>
      <c r="E35" s="843"/>
      <c r="F35" s="843"/>
      <c r="G35" s="891"/>
      <c r="H35" s="958"/>
      <c r="I35" s="1005" t="str">
        <f>INDEX(TEMPLATE_NUMBER_POINT_FHD,B35,MATCH(TEMPLATE_SPHERE,TEMPLATE_SPHERE_LIST_FOR_NOTE,0))</f>
        <v>2.7.2</v>
      </c>
      <c r="J35" s="100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2.7.2</v>
      </c>
      <c r="M35" s="84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2084</v>
      </c>
      <c r="P35" s="957" t="s">
        <v>2064</v>
      </c>
      <c r="Q35" s="957" t="s">
        <v>2084</v>
      </c>
      <c r="R35" s="957" t="s">
        <v>2064</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6" t="s">
        <v>2085</v>
      </c>
      <c r="V35" s="846" t="s">
        <v>2085</v>
      </c>
      <c r="W35" s="846" t="s">
        <v>2085</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2.8</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2.8</v>
      </c>
      <c r="M36" s="844" t="str">
        <f>IF(J36=0,"",J36)</f>
        <v>Расходы на амортизацию основных средств и нематериальных активов</v>
      </c>
      <c r="N36" s="844" t="str">
        <f>IF(K36=0,"",K36)</f>
        <v/>
      </c>
      <c r="O36" s="957" t="s">
        <v>749</v>
      </c>
      <c r="P36" s="957" t="s">
        <v>745</v>
      </c>
      <c r="Q36" s="957" t="s">
        <v>749</v>
      </c>
      <c r="R36" s="957" t="s">
        <v>745</v>
      </c>
      <c r="S36" s="957"/>
      <c r="T36" s="964" t="s">
        <v>2086</v>
      </c>
      <c r="U36" s="846" t="s">
        <v>2086</v>
      </c>
      <c r="V36" s="846" t="s">
        <v>2086</v>
      </c>
      <c r="W36" s="846" t="s">
        <v>2086</v>
      </c>
      <c r="X36" s="843"/>
      <c r="Y36" s="1000"/>
      <c r="Z36" s="846"/>
      <c r="AA36" s="849"/>
      <c r="AB36" s="846"/>
      <c r="AC36" s="846"/>
      <c r="AD36" s="846"/>
    </row>
    <row customHeight="1" ht="18">
      <c r="A37" s="845"/>
      <c r="B37" s="899">
        <v>20</v>
      </c>
      <c r="C37" s="843" t="s">
        <v>2087</v>
      </c>
      <c r="D37" s="967"/>
      <c r="E37" s="843"/>
      <c r="F37" s="843"/>
      <c r="G37" s="891"/>
      <c r="H37" s="958"/>
      <c r="I37" s="1005" t="str">
        <f>INDEX(TEMPLATE_NUMBER_POINT_FHD,B37,MATCH(TEMPLATE_SPHERE,TEMPLATE_SPHERE_LIST_FOR_NOTE,0))</f>
        <v>2.8.1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2.8.1</v>
      </c>
      <c r="M37" s="844" t="str">
        <f>IF(J37=0,"",J37)</f>
        <v>Расходы на амортизацию основных средств</v>
      </c>
      <c r="N37" s="844" t="str">
        <f>IF(K37=0,"",K37)</f>
        <v/>
      </c>
      <c r="O37" s="957" t="s">
        <v>2088</v>
      </c>
      <c r="P37" s="957" t="s">
        <v>2071</v>
      </c>
      <c r="Q37" s="957" t="s">
        <v>2088</v>
      </c>
      <c r="R37" s="957" t="s">
        <v>2071</v>
      </c>
      <c r="S37" s="957"/>
      <c r="T37" s="964" t="s">
        <v>2089</v>
      </c>
      <c r="U37" s="846" t="s">
        <v>2089</v>
      </c>
      <c r="V37" s="846" t="s">
        <v>2089</v>
      </c>
      <c r="W37" s="846" t="s">
        <v>2089</v>
      </c>
      <c r="X37" s="843"/>
      <c r="Y37" s="1000"/>
      <c r="Z37" s="846"/>
      <c r="AA37" s="849"/>
      <c r="AB37" s="846"/>
      <c r="AC37" s="846"/>
      <c r="AD37" s="846"/>
    </row>
    <row customHeight="1" ht="18">
      <c r="A38" s="845"/>
      <c r="B38" s="899">
        <v>21</v>
      </c>
      <c r="C38" s="843" t="s">
        <v>2090</v>
      </c>
      <c r="D38" s="967"/>
      <c r="E38" s="843"/>
      <c r="F38" s="843"/>
      <c r="G38" s="891"/>
      <c r="H38" s="958"/>
      <c r="I38" s="1005" t="str">
        <f>INDEX(TEMPLATE_NUMBER_POINT_FHD,B38,MATCH(TEMPLATE_SPHERE,TEMPLATE_SPHERE_LIST_FOR_NOTE,0))</f>
        <v>2.8.2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2.8.2</v>
      </c>
      <c r="M38" s="844" t="str">
        <f>IF(J38=0,"",J38)</f>
        <v>Расходы на амортизацию нематериальных активов</v>
      </c>
      <c r="N38" s="844" t="str">
        <f>IF(K38=0,"",K38)</f>
        <v/>
      </c>
      <c r="O38" s="957" t="s">
        <v>2091</v>
      </c>
      <c r="P38" s="957" t="s">
        <v>2074</v>
      </c>
      <c r="Q38" s="957" t="s">
        <v>2091</v>
      </c>
      <c r="R38" s="957" t="s">
        <v>2074</v>
      </c>
      <c r="S38" s="957"/>
      <c r="T38" s="964" t="s">
        <v>2092</v>
      </c>
      <c r="U38" s="846" t="s">
        <v>2092</v>
      </c>
      <c r="V38" s="846" t="s">
        <v>2092</v>
      </c>
      <c r="W38" s="846" t="s">
        <v>2092</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2.9</v>
      </c>
      <c r="J39" s="1005" t="str">
        <f>INDEX(TEMPLATE_DATA_POINT_FHD,B39,MATCH(TEMPLATE_SPHERE,TEMPLATE_SPHERE_LIST_FOR_NOTE,0))</f>
        <v>Расходы на аренду имущества, используемого для осуществления регулируемого вида деятельности</v>
      </c>
      <c r="K39" s="1005">
        <f>INDEX(TEMPLATE_NOTE_POINT_FHD,B39,MATCH(TEMPLATE_SPHERE,TEMPLATE_SPHERE_LIST_FOR_NOTE,0))</f>
        <v>0</v>
      </c>
      <c r="L39" s="844" t="str">
        <f>IF(I39=0,"",I39)</f>
        <v>2.9</v>
      </c>
      <c r="M39" s="844" t="str">
        <f>IF(J39=0,"",J39)</f>
        <v>Расходы на аренду имущества, используемого для осуществления регулируемого вида деятельности</v>
      </c>
      <c r="N39" s="844" t="str">
        <f>IF(K39=0,"",K39)</f>
        <v/>
      </c>
      <c r="O39" s="957" t="s">
        <v>753</v>
      </c>
      <c r="P39" s="957" t="s">
        <v>747</v>
      </c>
      <c r="Q39" s="957" t="s">
        <v>753</v>
      </c>
      <c r="R39" s="957" t="s">
        <v>747</v>
      </c>
      <c r="S39" s="957"/>
      <c r="T39" s="964" t="s">
        <v>2093</v>
      </c>
      <c r="U39" s="846" t="s">
        <v>2094</v>
      </c>
      <c r="V39" s="846" t="s">
        <v>2095</v>
      </c>
      <c r="W39" s="846" t="s">
        <v>2096</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2.10</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2.10</v>
      </c>
      <c r="M40" s="844" t="str">
        <f>IF(J40=0,"",J40)</f>
        <v>Общепроизводственные расходы, в том числе:</v>
      </c>
      <c r="N40" s="844" t="str">
        <f>IF(K40=0,"",K40)</f>
        <v>Указывается общая сумма общепроизводственных расходов.</v>
      </c>
      <c r="O40" s="957" t="s">
        <v>2097</v>
      </c>
      <c r="P40" s="957" t="s">
        <v>749</v>
      </c>
      <c r="Q40" s="957" t="s">
        <v>2097</v>
      </c>
      <c r="R40" s="957" t="s">
        <v>749</v>
      </c>
      <c r="S40" s="957"/>
      <c r="T40" s="843" t="s">
        <v>2098</v>
      </c>
      <c r="U40" s="843" t="s">
        <v>2098</v>
      </c>
      <c r="V40" s="843" t="s">
        <v>2098</v>
      </c>
      <c r="W40" s="843" t="s">
        <v>2098</v>
      </c>
      <c r="X40" s="843"/>
      <c r="Y40" s="1000"/>
      <c r="Z40" s="846" t="s">
        <v>2099</v>
      </c>
      <c r="AA40" s="849" t="s">
        <v>2099</v>
      </c>
      <c r="AB40" s="849" t="s">
        <v>2099</v>
      </c>
      <c r="AC40" s="849" t="s">
        <v>2099</v>
      </c>
      <c r="AD40" s="846"/>
    </row>
    <row customHeight="1" ht="27">
      <c r="A41" s="845"/>
      <c r="B41" s="899">
        <v>24</v>
      </c>
      <c r="C41" s="843" t="s">
        <v>2100</v>
      </c>
      <c r="D41" s="967"/>
      <c r="E41" s="843"/>
      <c r="F41" s="843"/>
      <c r="G41" s="843"/>
      <c r="H41" s="891"/>
      <c r="I41" s="1005" t="str">
        <f>INDEX(TEMPLATE_NUMBER_POINT_FHD,B41,MATCH(TEMPLATE_SPHERE,TEMPLATE_SPHERE_LIST_FOR_NOTE,0))</f>
        <v>2.10.1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2.10.1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2101</v>
      </c>
      <c r="P41" s="957" t="s">
        <v>2088</v>
      </c>
      <c r="Q41" s="957" t="s">
        <v>2101</v>
      </c>
      <c r="R41" s="957" t="s">
        <v>2088</v>
      </c>
      <c r="S41" s="957"/>
      <c r="T41" s="843" t="s">
        <v>2102</v>
      </c>
      <c r="U41" s="843" t="s">
        <v>2102</v>
      </c>
      <c r="V41" s="843" t="s">
        <v>2102</v>
      </c>
      <c r="W41" s="843" t="s">
        <v>2102</v>
      </c>
      <c r="X41" s="843"/>
      <c r="Y41" s="1000"/>
      <c r="Z41" s="846" t="s">
        <v>2103</v>
      </c>
      <c r="AA41" s="846" t="s">
        <v>2103</v>
      </c>
      <c r="AB41" s="846" t="s">
        <v>2103</v>
      </c>
      <c r="AC41" s="846" t="s">
        <v>2103</v>
      </c>
      <c r="AD41" s="846"/>
    </row>
    <row customHeight="1" ht="27">
      <c r="A42" s="845"/>
      <c r="B42" s="899">
        <v>25</v>
      </c>
      <c r="C42" s="843" t="s">
        <v>2104</v>
      </c>
      <c r="D42" s="967"/>
      <c r="E42" s="843"/>
      <c r="F42" s="843"/>
      <c r="G42" s="843"/>
      <c r="H42" s="891"/>
      <c r="I42" s="1005" t="str">
        <f>INDEX(TEMPLATE_NUMBER_POINT_FHD,B42,MATCH(TEMPLATE_SPHERE,TEMPLATE_SPHERE_LIST_FOR_NOTE,0))</f>
        <v>2.10.2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2.10.2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2105</v>
      </c>
      <c r="P42" s="957" t="s">
        <v>2091</v>
      </c>
      <c r="Q42" s="957" t="s">
        <v>2105</v>
      </c>
      <c r="R42" s="957" t="s">
        <v>2091</v>
      </c>
      <c r="S42" s="957"/>
      <c r="T42" s="843" t="s">
        <v>2106</v>
      </c>
      <c r="U42" s="843" t="s">
        <v>2106</v>
      </c>
      <c r="V42" s="843" t="s">
        <v>2106</v>
      </c>
      <c r="W42" s="843" t="s">
        <v>2106</v>
      </c>
      <c r="X42" s="843"/>
      <c r="Y42" s="1000"/>
      <c r="Z42" s="846" t="s">
        <v>2107</v>
      </c>
      <c r="AA42" s="846" t="s">
        <v>2107</v>
      </c>
      <c r="AB42" s="846" t="s">
        <v>2107</v>
      </c>
      <c r="AC42" s="846" t="s">
        <v>2107</v>
      </c>
      <c r="AD42" s="846"/>
    </row>
    <row customHeight="1" ht="18">
      <c r="A43" s="845"/>
      <c r="B43" s="899">
        <v>26</v>
      </c>
      <c r="C43" s="843">
        <v>14</v>
      </c>
      <c r="D43" s="967"/>
      <c r="E43" s="843"/>
      <c r="F43" s="843"/>
      <c r="G43" s="843"/>
      <c r="H43" s="891"/>
      <c r="I43" s="1005" t="str">
        <f>INDEX(TEMPLATE_NUMBER_POINT_FHD,B43,MATCH(TEMPLATE_SPHERE,TEMPLATE_SPHERE_LIST_FOR_NOTE,0))</f>
        <v>2.11</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2.11</v>
      </c>
      <c r="M43" s="844" t="str">
        <f>IF(J43=0,"",J43)</f>
        <v>Общехозяйственные расходы, в том числе:</v>
      </c>
      <c r="N43" s="844" t="str">
        <f>IF(K43=0,"",K43)</f>
        <v>Указывается общая сумма общехозяйственных расходов.</v>
      </c>
      <c r="O43" s="957" t="s">
        <v>2108</v>
      </c>
      <c r="P43" s="957" t="s">
        <v>753</v>
      </c>
      <c r="Q43" s="957" t="s">
        <v>2108</v>
      </c>
      <c r="R43" s="957" t="s">
        <v>753</v>
      </c>
      <c r="S43" s="957"/>
      <c r="T43" s="843" t="s">
        <v>2109</v>
      </c>
      <c r="U43" s="843" t="s">
        <v>2109</v>
      </c>
      <c r="V43" s="843" t="s">
        <v>2109</v>
      </c>
      <c r="W43" s="843" t="s">
        <v>2109</v>
      </c>
      <c r="X43" s="843"/>
      <c r="Y43" s="1000"/>
      <c r="Z43" s="846" t="s">
        <v>2110</v>
      </c>
      <c r="AA43" s="846" t="s">
        <v>2110</v>
      </c>
      <c r="AB43" s="846" t="s">
        <v>2110</v>
      </c>
      <c r="AC43" s="846" t="s">
        <v>2110</v>
      </c>
      <c r="AD43" s="846"/>
    </row>
    <row customHeight="1" ht="27">
      <c r="A44" s="845"/>
      <c r="B44" s="899">
        <v>27</v>
      </c>
      <c r="C44" s="843" t="s">
        <v>2111</v>
      </c>
      <c r="D44" s="967"/>
      <c r="E44" s="843"/>
      <c r="F44" s="843"/>
      <c r="G44" s="843"/>
      <c r="H44" s="891"/>
      <c r="I44" s="1005" t="str">
        <f>INDEX(TEMPLATE_NUMBER_POINT_FHD,B44,MATCH(TEMPLATE_SPHERE,TEMPLATE_SPHERE_LIST_FOR_NOTE,0))</f>
        <v>2.11.1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2.11.1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2112</v>
      </c>
      <c r="P44" s="957" t="s">
        <v>2113</v>
      </c>
      <c r="Q44" s="957" t="s">
        <v>2112</v>
      </c>
      <c r="R44" s="957" t="s">
        <v>2113</v>
      </c>
      <c r="S44" s="957"/>
      <c r="T44" s="843" t="s">
        <v>2102</v>
      </c>
      <c r="U44" s="843" t="s">
        <v>2102</v>
      </c>
      <c r="V44" s="843" t="s">
        <v>2102</v>
      </c>
      <c r="W44" s="843" t="s">
        <v>2102</v>
      </c>
      <c r="X44" s="843"/>
      <c r="Y44" s="1000"/>
      <c r="Z44" s="846" t="s">
        <v>2114</v>
      </c>
      <c r="AA44" s="846" t="s">
        <v>2114</v>
      </c>
      <c r="AB44" s="846" t="s">
        <v>2114</v>
      </c>
      <c r="AC44" s="846" t="s">
        <v>2114</v>
      </c>
      <c r="AD44" s="846"/>
    </row>
    <row customHeight="1" ht="27">
      <c r="A45" s="845"/>
      <c r="B45" s="899">
        <v>28</v>
      </c>
      <c r="C45" s="843" t="s">
        <v>2115</v>
      </c>
      <c r="D45" s="967"/>
      <c r="E45" s="843"/>
      <c r="F45" s="843"/>
      <c r="G45" s="843"/>
      <c r="H45" s="891"/>
      <c r="I45" s="1005" t="str">
        <f>INDEX(TEMPLATE_NUMBER_POINT_FHD,B45,MATCH(TEMPLATE_SPHERE,TEMPLATE_SPHERE_LIST_FOR_NOTE,0))</f>
        <v>2.11.2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2.11.2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2116</v>
      </c>
      <c r="P45" s="957" t="s">
        <v>2117</v>
      </c>
      <c r="Q45" s="957" t="s">
        <v>2116</v>
      </c>
      <c r="R45" s="957" t="s">
        <v>2117</v>
      </c>
      <c r="S45" s="957"/>
      <c r="T45" s="843" t="s">
        <v>2106</v>
      </c>
      <c r="U45" s="843" t="s">
        <v>2106</v>
      </c>
      <c r="V45" s="843" t="s">
        <v>2106</v>
      </c>
      <c r="W45" s="843" t="s">
        <v>2106</v>
      </c>
      <c r="X45" s="843"/>
      <c r="Y45" s="1000"/>
      <c r="Z45" s="846" t="s">
        <v>2118</v>
      </c>
      <c r="AA45" s="846" t="s">
        <v>2118</v>
      </c>
      <c r="AB45" s="846" t="s">
        <v>2118</v>
      </c>
      <c r="AC45" s="846" t="s">
        <v>2118</v>
      </c>
      <c r="AD45" s="846"/>
    </row>
    <row customHeight="1" ht="54">
      <c r="A46" s="845"/>
      <c r="B46" s="899">
        <v>29</v>
      </c>
      <c r="C46" s="843">
        <v>15</v>
      </c>
      <c r="D46" s="967"/>
      <c r="E46" s="843"/>
      <c r="F46" s="843"/>
      <c r="G46" s="843"/>
      <c r="H46" s="891"/>
      <c r="I46" s="1005" t="str">
        <f>INDEX(TEMPLATE_NUMBER_POINT_FHD,B46,MATCH(TEMPLATE_SPHERE,TEMPLATE_SPHERE_LIST_FOR_NOTE,0))</f>
        <v>2.12</v>
      </c>
      <c r="J46" s="1005" t="str">
        <f>INDEX(TEMPLATE_DATA_POINT_FHD,B46,MATCH(TEMPLATE_SPHERE,TEMPLATE_SPHERE_LIST_FOR_NOTE,0))</f>
        <v>Расходы на капитальный и текущий ремонт основных средств</v>
      </c>
      <c r="K46" s="1005"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2.12</v>
      </c>
      <c r="M46" s="844" t="str">
        <f>IF(J46=0,"",J46)</f>
        <v>Расходы на капитальный и текущий ремонт основных средств</v>
      </c>
      <c r="N46" s="844"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2119</v>
      </c>
      <c r="P46" s="957" t="s">
        <v>2097</v>
      </c>
      <c r="Q46" s="957" t="s">
        <v>2119</v>
      </c>
      <c r="R46" s="957" t="s">
        <v>2097</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3" t="s">
        <v>2120</v>
      </c>
      <c r="V46" s="843" t="s">
        <v>2120</v>
      </c>
      <c r="W46" s="843" t="s">
        <v>2120</v>
      </c>
      <c r="X46" s="843"/>
      <c r="Y46" s="1000"/>
      <c r="Z46" s="846" t="s">
        <v>2121</v>
      </c>
      <c r="AA46" s="846" t="s">
        <v>2122</v>
      </c>
      <c r="AB46" s="846" t="s">
        <v>2122</v>
      </c>
      <c r="AC46" s="846" t="s">
        <v>2122</v>
      </c>
      <c r="AD46" s="846"/>
    </row>
    <row customHeight="1" ht="54">
      <c r="A47" s="845"/>
      <c r="B47" s="899">
        <v>30</v>
      </c>
      <c r="C47" s="843" t="s">
        <v>2123</v>
      </c>
      <c r="D47" s="967"/>
      <c r="E47" s="843"/>
      <c r="F47" s="843"/>
      <c r="G47" s="843"/>
      <c r="H47" s="891"/>
      <c r="I47" s="1005" t="str">
        <f>INDEX(TEMPLATE_NUMBER_POINT_FHD,B47,MATCH(TEMPLATE_SPHERE,TEMPLATE_SPHERE_LIST_FOR_NOTE,0))</f>
        <v>2.12.1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2.12.1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2124</v>
      </c>
      <c r="P47" s="957" t="s">
        <v>2101</v>
      </c>
      <c r="Q47" s="957" t="s">
        <v>2124</v>
      </c>
      <c r="R47" s="957" t="s">
        <v>2101</v>
      </c>
      <c r="S47" s="957"/>
      <c r="T47" s="843" t="s">
        <v>2125</v>
      </c>
      <c r="U47" s="843" t="s">
        <v>2125</v>
      </c>
      <c r="V47" s="843" t="s">
        <v>2125</v>
      </c>
      <c r="W47" s="843" t="s">
        <v>2125</v>
      </c>
      <c r="X47" s="843"/>
      <c r="Y47" s="1000"/>
      <c r="Z47" s="846"/>
      <c r="AA47" s="849"/>
      <c r="AB47" s="849"/>
      <c r="AC47" s="849"/>
      <c r="AD47" s="846"/>
    </row>
    <row customHeight="1" ht="54">
      <c r="A48" s="845"/>
      <c r="B48" s="899">
        <v>31</v>
      </c>
      <c r="C48" s="843">
        <v>16</v>
      </c>
      <c r="D48" s="967"/>
      <c r="E48" s="843"/>
      <c r="F48" s="843"/>
      <c r="G48" s="843"/>
      <c r="H48" s="891"/>
      <c r="I48" s="1005">
        <f>INDEX(TEMPLATE_NUMBER_POINT_FHD,B48,MATCH(TEMPLATE_SPHERE,TEMPLATE_SPHERE_LIST_FOR_NOTE,0))</f>
        <v>0</v>
      </c>
      <c r="J48" s="1005">
        <f>INDEX(TEMPLATE_DATA_POINT_FHD,B48,MATCH(TEMPLATE_SPHERE,TEMPLATE_SPHERE_LIST_FOR_NOTE,0))</f>
        <v>0</v>
      </c>
      <c r="K48" s="1005">
        <f>INDEX(TEMPLATE_NOTE_POINT_FHD,B48,MATCH(TEMPLATE_SPHERE,TEMPLATE_SPHERE_LIST_FOR_NOTE,0))</f>
        <v>0</v>
      </c>
      <c r="L48" s="844" t="str">
        <f>IF(I48=0,"",I48)</f>
        <v/>
      </c>
      <c r="M48" s="844" t="str">
        <f>IF(J48=0,"",J48)</f>
        <v/>
      </c>
      <c r="N48" s="844" t="str">
        <f>IF(K48=0,"",K48)</f>
        <v/>
      </c>
      <c r="O48" s="957"/>
      <c r="P48" s="957" t="s">
        <v>2108</v>
      </c>
      <c r="Q48" s="957" t="s">
        <v>2126</v>
      </c>
      <c r="R48" s="957" t="s">
        <v>2108</v>
      </c>
      <c r="S48" s="957"/>
      <c r="T48" s="843"/>
      <c r="U48" s="843" t="s">
        <v>2127</v>
      </c>
      <c r="V48" s="843" t="s">
        <v>2128</v>
      </c>
      <c r="W48" s="843" t="s">
        <v>2128</v>
      </c>
      <c r="X48" s="843"/>
      <c r="Y48" s="1000"/>
      <c r="Z48" s="846"/>
      <c r="AA48" s="849" t="s">
        <v>2122</v>
      </c>
      <c r="AB48" s="849" t="s">
        <v>2122</v>
      </c>
      <c r="AC48" s="849" t="s">
        <v>2122</v>
      </c>
      <c r="AD48" s="846"/>
    </row>
    <row customHeight="1" ht="54">
      <c r="A49" s="845"/>
      <c r="B49" s="899">
        <v>32</v>
      </c>
      <c r="C49" s="843" t="s">
        <v>2129</v>
      </c>
      <c r="D49" s="967"/>
      <c r="E49" s="843"/>
      <c r="F49" s="843"/>
      <c r="G49" s="843"/>
      <c r="H49" s="891"/>
      <c r="I49" s="1005">
        <f>INDEX(TEMPLATE_NUMBER_POINT_FHD,B49,MATCH(TEMPLATE_SPHERE,TEMPLATE_SPHERE_LIST_FOR_NOTE,0))</f>
        <v>0</v>
      </c>
      <c r="J49" s="1005">
        <f>INDEX(TEMPLATE_DATA_POINT_FHD,B49,MATCH(TEMPLATE_SPHERE,TEMPLATE_SPHERE_LIST_FOR_NOTE,0))</f>
        <v>0</v>
      </c>
      <c r="K49" s="1005">
        <f>INDEX(TEMPLATE_NOTE_POINT_FHD,B49,MATCH(TEMPLATE_SPHERE,TEMPLATE_SPHERE_LIST_FOR_NOTE,0))</f>
        <v>0</v>
      </c>
      <c r="L49" s="844" t="str">
        <f>IF(I49=0,"",I49)</f>
        <v/>
      </c>
      <c r="M49" s="844" t="str">
        <f>IF(J49=0,"",J49)</f>
        <v/>
      </c>
      <c r="N49" s="844" t="str">
        <f>IF(K49=0,"",K49)</f>
        <v/>
      </c>
      <c r="O49" s="957"/>
      <c r="P49" s="957" t="s">
        <v>2112</v>
      </c>
      <c r="Q49" s="957" t="s">
        <v>2130</v>
      </c>
      <c r="R49" s="957" t="s">
        <v>2112</v>
      </c>
      <c r="S49" s="957"/>
      <c r="T49" s="843"/>
      <c r="U49" s="843" t="s">
        <v>2125</v>
      </c>
      <c r="V49" s="843" t="s">
        <v>2125</v>
      </c>
      <c r="W49" s="843" t="s">
        <v>2125</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2.13</v>
      </c>
      <c r="J50" s="1005"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4" t="str">
        <f>IF(I50=0,"",I50)</f>
        <v>2.13</v>
      </c>
      <c r="M50" s="844"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4"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7" t="s">
        <v>2126</v>
      </c>
      <c r="P50" s="957" t="s">
        <v>2119</v>
      </c>
      <c r="Q50" s="957" t="s">
        <v>2131</v>
      </c>
      <c r="R50" s="957" t="s">
        <v>2119</v>
      </c>
      <c r="S50" s="957"/>
      <c r="T50" s="843" t="s">
        <v>2132</v>
      </c>
      <c r="U50" s="843" t="s">
        <v>2133</v>
      </c>
      <c r="V50" s="843" t="s">
        <v>2134</v>
      </c>
      <c r="W50" s="843" t="s">
        <v>2135</v>
      </c>
      <c r="X50" s="843"/>
      <c r="Y50" s="1000"/>
      <c r="Z50" s="846" t="s">
        <v>2136</v>
      </c>
      <c r="AA50" s="849" t="s">
        <v>2137</v>
      </c>
      <c r="AB50" s="849" t="s">
        <v>2137</v>
      </c>
      <c r="AC50" s="849" t="s">
        <v>2137</v>
      </c>
      <c r="AD50" s="846"/>
    </row>
    <row customHeight="1" ht="27">
      <c r="A51" s="845"/>
      <c r="B51" s="899">
        <v>34</v>
      </c>
      <c r="C51" s="843" t="s">
        <v>2138</v>
      </c>
      <c r="D51" s="967"/>
      <c r="E51" s="843"/>
      <c r="F51" s="843"/>
      <c r="G51" s="843"/>
      <c r="H51" s="891"/>
      <c r="I51" s="1005" t="str">
        <f>INDEX(TEMPLATE_NUMBER_POINT_FHD,B51,MATCH(TEMPLATE_SPHERE,TEMPLATE_SPHERE_LIST_FOR_NOTE,0))</f>
        <v>3</v>
      </c>
      <c r="J51" s="1005"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5">
        <f>INDEX(TEMPLATE_NOTE_POINT_FHD,B51,MATCH(TEMPLATE_SPHERE,TEMPLATE_SPHERE_LIST_FOR_NOTE,0))</f>
        <v>0</v>
      </c>
      <c r="L51" s="844" t="str">
        <f>IF(I51=0,"",I51)</f>
        <v>3</v>
      </c>
      <c r="M51" s="844" t="str">
        <f>IF(J51=0,"",J51)</f>
        <v>Валовая прибыль (убытки) от реализации товаров и оказания услуг по регулируемому виду деятельности</v>
      </c>
      <c r="N51" s="844" t="str">
        <f>IF(K51=0,"",K51)</f>
        <v/>
      </c>
      <c r="O51" s="957" t="s">
        <v>94</v>
      </c>
      <c r="P51" s="957"/>
      <c r="Q51" s="957"/>
      <c r="R51" s="957"/>
      <c r="S51" s="957"/>
      <c r="T51" s="843" t="s">
        <v>2139</v>
      </c>
      <c r="U51" s="843"/>
      <c r="V51" s="843"/>
      <c r="W51" s="843"/>
      <c r="X51" s="843"/>
      <c r="Y51" s="1000"/>
      <c r="Z51" s="846"/>
      <c r="AA51" s="849"/>
      <c r="AB51" s="849"/>
      <c r="AC51" s="849"/>
      <c r="AD51" s="846"/>
    </row>
    <row customHeight="1" ht="36">
      <c r="A52" s="845"/>
      <c r="B52" s="899">
        <v>35</v>
      </c>
      <c r="C52" s="843" t="s">
        <v>2032</v>
      </c>
      <c r="D52" s="967" t="s">
        <v>2032</v>
      </c>
      <c r="E52" s="843" t="s">
        <v>2032</v>
      </c>
      <c r="F52" s="843" t="s">
        <v>2032</v>
      </c>
      <c r="G52" s="843"/>
      <c r="H52" s="891"/>
      <c r="I52" s="1005" t="str">
        <f>INDEX(TEMPLATE_NUMBER_POINT_FHD,B52,MATCH(TEMPLATE_SPHERE,TEMPLATE_SPHERE_LIST_FOR_NOTE,0))</f>
        <v>4</v>
      </c>
      <c r="J52" s="1005" t="str">
        <f>INDEX(TEMPLATE_DATA_POINT_FHD,B52,MATCH(TEMPLATE_SPHERE,TEMPLATE_SPHERE_LIST_FOR_NOTE,0))</f>
        <v>Чистая прибыль, полученная от регулируемого вида деятельности,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4</v>
      </c>
      <c r="M52" s="844" t="str">
        <f>IF(J52=0,"",J52)</f>
        <v>Чистая прибыль, полученная от регулируемого вида деятельности, в том числе:</v>
      </c>
      <c r="N52" s="844" t="str">
        <f>IF(K52=0,"",K52)</f>
        <v>Указывается общая сумма чистой прибыли, полученной от регулируемого вида деятельности.</v>
      </c>
      <c r="O52" s="957" t="s">
        <v>95</v>
      </c>
      <c r="P52" s="957" t="s">
        <v>94</v>
      </c>
      <c r="Q52" s="957" t="s">
        <v>94</v>
      </c>
      <c r="R52" s="957" t="s">
        <v>94</v>
      </c>
      <c r="S52" s="957"/>
      <c r="T52" s="843" t="s">
        <v>2140</v>
      </c>
      <c r="U52" s="843" t="s">
        <v>2141</v>
      </c>
      <c r="V52" s="843" t="s">
        <v>2142</v>
      </c>
      <c r="W52" s="843" t="s">
        <v>2143</v>
      </c>
      <c r="X52" s="843"/>
      <c r="Y52" s="1000"/>
      <c r="Z52" s="846" t="s">
        <v>757</v>
      </c>
      <c r="AA52" s="849" t="s">
        <v>757</v>
      </c>
      <c r="AB52" s="849" t="s">
        <v>757</v>
      </c>
      <c r="AC52" s="849" t="s">
        <v>757</v>
      </c>
      <c r="AD52" s="846"/>
    </row>
    <row customHeight="1" ht="36">
      <c r="A53" s="845"/>
      <c r="B53" s="899">
        <v>36</v>
      </c>
      <c r="C53" s="843">
        <v>1</v>
      </c>
      <c r="D53" s="967"/>
      <c r="E53" s="843"/>
      <c r="F53" s="843"/>
      <c r="G53" s="843"/>
      <c r="H53" s="891"/>
      <c r="I53" s="1005" t="str">
        <f>INDEX(TEMPLATE_NUMBER_POINT_FHD,B53,MATCH(TEMPLATE_SPHERE,TEMPLATE_SPHERE_LIST_FOR_NOTE,0))</f>
        <v>4.1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4.1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761</v>
      </c>
      <c r="P53" s="957" t="s">
        <v>332</v>
      </c>
      <c r="Q53" s="957" t="s">
        <v>332</v>
      </c>
      <c r="R53" s="957" t="s">
        <v>332</v>
      </c>
      <c r="S53" s="957"/>
      <c r="T53" s="843" t="s">
        <v>2144</v>
      </c>
      <c r="U53" s="843" t="s">
        <v>2144</v>
      </c>
      <c r="V53" s="843" t="s">
        <v>2144</v>
      </c>
      <c r="W53" s="843" t="s">
        <v>2144</v>
      </c>
      <c r="X53" s="843"/>
      <c r="Y53" s="1000"/>
      <c r="Z53" s="846"/>
      <c r="AA53" s="849"/>
      <c r="AB53" s="846"/>
      <c r="AC53" s="846"/>
      <c r="AD53" s="846"/>
    </row>
    <row customHeight="1" ht="18">
      <c r="A54" s="845"/>
      <c r="B54" s="899">
        <v>37</v>
      </c>
      <c r="C54" s="843" t="s">
        <v>2038</v>
      </c>
      <c r="D54" s="967" t="s">
        <v>2038</v>
      </c>
      <c r="E54" s="843" t="s">
        <v>2038</v>
      </c>
      <c r="F54" s="843" t="s">
        <v>2038</v>
      </c>
      <c r="G54" s="843"/>
      <c r="H54" s="891"/>
      <c r="I54" s="1005" t="str">
        <f>INDEX(TEMPLATE_NUMBER_POINT_FHD,B54,MATCH(TEMPLATE_SPHERE,TEMPLATE_SPHERE_LIST_FOR_NOTE,0))</f>
        <v>5</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5</v>
      </c>
      <c r="M54" s="844" t="str">
        <f>IF(J54=0,"",J54)</f>
        <v>Изменение стоимости основных фондов, в том числе:</v>
      </c>
      <c r="N54" s="844" t="str">
        <f>IF(K54=0,"",K54)</f>
        <v>Указывается общее изменение стоимости основных фондов.</v>
      </c>
      <c r="O54" s="957" t="s">
        <v>115</v>
      </c>
      <c r="P54" s="957" t="s">
        <v>95</v>
      </c>
      <c r="Q54" s="957" t="s">
        <v>95</v>
      </c>
      <c r="R54" s="957" t="s">
        <v>95</v>
      </c>
      <c r="S54" s="957"/>
      <c r="T54" s="843" t="s">
        <v>759</v>
      </c>
      <c r="U54" s="843" t="s">
        <v>759</v>
      </c>
      <c r="V54" s="843" t="s">
        <v>759</v>
      </c>
      <c r="W54" s="843" t="s">
        <v>759</v>
      </c>
      <c r="X54" s="843"/>
      <c r="Y54" s="1000"/>
      <c r="Z54" s="846" t="s">
        <v>760</v>
      </c>
      <c r="AA54" s="846" t="s">
        <v>760</v>
      </c>
      <c r="AB54" s="846" t="s">
        <v>760</v>
      </c>
      <c r="AC54" s="846" t="s">
        <v>760</v>
      </c>
      <c r="AD54" s="846"/>
    </row>
    <row customHeight="1" ht="36">
      <c r="A55" s="845"/>
      <c r="B55" s="899">
        <v>38</v>
      </c>
      <c r="C55" s="843">
        <v>1</v>
      </c>
      <c r="D55" s="967"/>
      <c r="E55" s="843"/>
      <c r="F55" s="843"/>
      <c r="G55" s="843"/>
      <c r="H55" s="891"/>
      <c r="I55" s="1005" t="str">
        <f>INDEX(TEMPLATE_NUMBER_POINT_FHD,B55,MATCH(TEMPLATE_SPHERE,TEMPLATE_SPHERE_LIST_FOR_NOTE,0))</f>
        <v>5.1</v>
      </c>
      <c r="J55" s="1005" t="str">
        <f>INDEX(TEMPLATE_DATA_POINT_FHD,B55,MATCH(TEMPLATE_SPHERE,TEMPLATE_SPHERE_LIST_FOR_NOTE,0))</f>
        <v>Изменение стоимости основных фондов за счет:</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5.1</v>
      </c>
      <c r="M55" s="844" t="str">
        <f>IF(J55=0,"",J55)</f>
        <v>Изменение стоимости основных фондов за счет:</v>
      </c>
      <c r="N55" s="844" t="str">
        <f>IF(K55=0,"",K55)</f>
        <v>Указываются общее изменение стоимости основных фондов за счет их ввода в эксплуатацию и вывода из эксплуатации.</v>
      </c>
      <c r="O55" s="957" t="s">
        <v>321</v>
      </c>
      <c r="P55" s="957" t="s">
        <v>761</v>
      </c>
      <c r="Q55" s="957" t="s">
        <v>761</v>
      </c>
      <c r="R55" s="957" t="s">
        <v>761</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3" t="s">
        <v>2145</v>
      </c>
      <c r="V55" s="843" t="s">
        <v>2145</v>
      </c>
      <c r="W55" s="843" t="s">
        <v>2145</v>
      </c>
      <c r="X55" s="843"/>
      <c r="Y55" s="1000"/>
      <c r="Z55" s="846" t="s">
        <v>2146</v>
      </c>
      <c r="AA55" s="846" t="s">
        <v>2146</v>
      </c>
      <c r="AB55" s="846" t="s">
        <v>2146</v>
      </c>
      <c r="AC55" s="846" t="s">
        <v>2146</v>
      </c>
      <c r="AD55" s="846"/>
    </row>
    <row customHeight="1" ht="27">
      <c r="A56" s="845"/>
      <c r="B56" s="899">
        <v>39</v>
      </c>
      <c r="C56" s="843" t="s">
        <v>1029</v>
      </c>
      <c r="D56" s="967"/>
      <c r="E56" s="843"/>
      <c r="F56" s="843"/>
      <c r="G56" s="843"/>
      <c r="H56" s="891"/>
      <c r="I56" s="1005" t="str">
        <f>INDEX(TEMPLATE_NUMBER_POINT_FHD,B56,MATCH(TEMPLATE_SPHERE,TEMPLATE_SPHERE_LIST_FOR_NOTE,0))</f>
        <v>5.1.1</v>
      </c>
      <c r="J56" s="1005" t="str">
        <f>INDEX(TEMPLATE_DATA_POINT_FHD,B56,MATCH(TEMPLATE_SPHERE,TEMPLATE_SPHERE_LIST_FOR_NOTE,0))</f>
        <v>Изменения стоимости основных фондов 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5.1.1</v>
      </c>
      <c r="M56" s="844" t="str">
        <f>IF(J56=0,"",J56)</f>
        <v>Изменения стоимости основных фондов за счет их ввода в эксплуатацию</v>
      </c>
      <c r="N56" s="844" t="str">
        <f>IF(K56=0,"",K56)</f>
        <v>Указываются изменение стоимости основных фондов за счет их ввода в эксплуатацию.</v>
      </c>
      <c r="O56" s="957" t="s">
        <v>1146</v>
      </c>
      <c r="P56" s="957" t="s">
        <v>764</v>
      </c>
      <c r="Q56" s="957" t="s">
        <v>764</v>
      </c>
      <c r="R56" s="957" t="s">
        <v>764</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3" t="s">
        <v>2147</v>
      </c>
      <c r="V56" s="843" t="s">
        <v>2147</v>
      </c>
      <c r="W56" s="843" t="s">
        <v>2147</v>
      </c>
      <c r="X56" s="843"/>
      <c r="Y56" s="1000"/>
      <c r="Z56" s="846" t="s">
        <v>766</v>
      </c>
      <c r="AA56" s="846" t="s">
        <v>766</v>
      </c>
      <c r="AB56" s="846" t="s">
        <v>766</v>
      </c>
      <c r="AC56" s="846" t="s">
        <v>766</v>
      </c>
      <c r="AD56" s="846"/>
    </row>
    <row customHeight="1" ht="27">
      <c r="A57" s="845"/>
      <c r="B57" s="899">
        <v>40</v>
      </c>
      <c r="C57" s="843" t="s">
        <v>1031</v>
      </c>
      <c r="D57" s="967"/>
      <c r="E57" s="843"/>
      <c r="F57" s="843"/>
      <c r="G57" s="843"/>
      <c r="H57" s="891"/>
      <c r="I57" s="1005" t="str">
        <f>INDEX(TEMPLATE_NUMBER_POINT_FHD,B57,MATCH(TEMPLATE_SPHERE,TEMPLATE_SPHERE_LIST_FOR_NOTE,0))</f>
        <v>5.1.2</v>
      </c>
      <c r="J57" s="1005" t="str">
        <f>INDEX(TEMPLATE_DATA_POINT_FHD,B57,MATCH(TEMPLATE_SPHERE,TEMPLATE_SPHERE_LIST_FOR_NOTE,0))</f>
        <v>Изменения стоимости основных фондов 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5.1.2</v>
      </c>
      <c r="M57" s="844" t="str">
        <f>IF(J57=0,"",J57)</f>
        <v>Изменения стоимости основных фондов за счет их вывода в эксплуатацию</v>
      </c>
      <c r="N57" s="844" t="str">
        <f>IF(K57=0,"",K57)</f>
        <v>Указываются изменение стоимости основных фондов за счет их вывода из эксплуатации.</v>
      </c>
      <c r="O57" s="957" t="s">
        <v>2148</v>
      </c>
      <c r="P57" s="957" t="s">
        <v>767</v>
      </c>
      <c r="Q57" s="957" t="s">
        <v>767</v>
      </c>
      <c r="R57" s="957" t="s">
        <v>767</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3" t="s">
        <v>2149</v>
      </c>
      <c r="V57" s="843" t="s">
        <v>2149</v>
      </c>
      <c r="W57" s="843" t="s">
        <v>2149</v>
      </c>
      <c r="X57" s="843"/>
      <c r="Y57" s="1000"/>
      <c r="Z57" s="846" t="s">
        <v>769</v>
      </c>
      <c r="AA57" s="846" t="s">
        <v>769</v>
      </c>
      <c r="AB57" s="846" t="s">
        <v>769</v>
      </c>
      <c r="AC57" s="846" t="s">
        <v>769</v>
      </c>
      <c r="AD57" s="846"/>
    </row>
    <row customHeight="1" ht="18">
      <c r="A58" s="845"/>
      <c r="B58" s="899">
        <v>41</v>
      </c>
      <c r="C58" s="843">
        <v>2</v>
      </c>
      <c r="D58" s="967"/>
      <c r="E58" s="843"/>
      <c r="F58" s="843"/>
      <c r="G58" s="843"/>
      <c r="H58" s="891"/>
      <c r="I58" s="1005" t="str">
        <f>INDEX(TEMPLATE_NUMBER_POINT_FHD,B58,MATCH(TEMPLATE_SPHERE,TEMPLATE_SPHERE_LIST_FOR_NOTE,0))</f>
        <v>5.2</v>
      </c>
      <c r="J58" s="1005" t="str">
        <f>INDEX(TEMPLATE_DATA_POINT_FHD,B58,MATCH(TEMPLATE_SPHERE,TEMPLATE_SPHERE_LIST_FOR_NOTE,0))</f>
        <v>Изменение стоимости основных фондов за счет их переоценки</v>
      </c>
      <c r="K58" s="1005">
        <f>INDEX(TEMPLATE_NOTE_POINT_FHD,B58,MATCH(TEMPLATE_SPHERE,TEMPLATE_SPHERE_LIST_FOR_NOTE,0))</f>
        <v>0</v>
      </c>
      <c r="L58" s="844" t="str">
        <f>IF(I58=0,"",I58)</f>
        <v>5.2</v>
      </c>
      <c r="M58" s="844" t="str">
        <f>IF(J58=0,"",J58)</f>
        <v>Изменение стоимости основных фондов за счет их переоценки</v>
      </c>
      <c r="N58" s="844" t="str">
        <f>IF(K58=0,"",K58)</f>
        <v/>
      </c>
      <c r="O58" s="957" t="s">
        <v>889</v>
      </c>
      <c r="P58" s="957" t="s">
        <v>803</v>
      </c>
      <c r="Q58" s="957" t="s">
        <v>803</v>
      </c>
      <c r="R58" s="957" t="s">
        <v>803</v>
      </c>
      <c r="S58" s="957"/>
      <c r="T58" s="84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3" t="s">
        <v>2150</v>
      </c>
      <c r="V58" s="843" t="s">
        <v>2150</v>
      </c>
      <c r="W58" s="843" t="s">
        <v>2150</v>
      </c>
      <c r="X58" s="843"/>
      <c r="Y58" s="1000"/>
      <c r="Z58" s="846"/>
      <c r="AA58" s="849"/>
      <c r="AB58" s="846"/>
      <c r="AC58" s="846"/>
      <c r="AD58" s="846"/>
    </row>
    <row customHeight="1" ht="36">
      <c r="A59" s="845"/>
      <c r="B59" s="899">
        <v>42</v>
      </c>
      <c r="C59" s="843">
        <v>3</v>
      </c>
      <c r="D59" s="967" t="s">
        <v>2138</v>
      </c>
      <c r="E59" s="843" t="s">
        <v>2138</v>
      </c>
      <c r="F59" s="843" t="s">
        <v>2138</v>
      </c>
      <c r="G59" s="843"/>
      <c r="H59" s="891"/>
      <c r="I59" s="1005">
        <f>INDEX(TEMPLATE_NUMBER_POINT_FHD,B59,MATCH(TEMPLATE_SPHERE,TEMPLATE_SPHERE_LIST_FOR_NOTE,0))</f>
        <v>0</v>
      </c>
      <c r="J59" s="1005">
        <f>INDEX(TEMPLATE_DATA_POINT_FHD,B59,MATCH(TEMPLATE_SPHERE,TEMPLATE_SPHERE_LIST_FOR_NOTE,0))</f>
        <v>0</v>
      </c>
      <c r="K59" s="1005">
        <f>INDEX(TEMPLATE_NOTE_POINT_FHD,B59,MATCH(TEMPLATE_SPHERE,TEMPLATE_SPHERE_LIST_FOR_NOTE,0))</f>
        <v>0</v>
      </c>
      <c r="L59" s="844" t="str">
        <f>IF(I59=0,"",I59)</f>
        <v/>
      </c>
      <c r="M59" s="844" t="str">
        <f>IF(J59=0,"",J59)</f>
        <v/>
      </c>
      <c r="N59" s="844" t="str">
        <f>IF(K59=0,"",K59)</f>
        <v/>
      </c>
      <c r="O59" s="957"/>
      <c r="P59" s="957" t="s">
        <v>115</v>
      </c>
      <c r="Q59" s="957" t="s">
        <v>115</v>
      </c>
      <c r="R59" s="957" t="s">
        <v>115</v>
      </c>
      <c r="S59" s="957"/>
      <c r="T59" s="843"/>
      <c r="U59" s="843" t="s">
        <v>2151</v>
      </c>
      <c r="V59" s="843" t="s">
        <v>2152</v>
      </c>
      <c r="W59" s="843" t="s">
        <v>2153</v>
      </c>
      <c r="X59" s="843"/>
      <c r="Y59" s="1000"/>
      <c r="Z59" s="846"/>
      <c r="AA59" s="849"/>
      <c r="AB59" s="846"/>
      <c r="AC59" s="846"/>
      <c r="AD59" s="846"/>
    </row>
    <row customHeight="1" ht="81">
      <c r="A60" s="845"/>
      <c r="B60" s="899">
        <v>43</v>
      </c>
      <c r="C60" s="843" t="s">
        <v>2154</v>
      </c>
      <c r="D60" s="967" t="s">
        <v>2154</v>
      </c>
      <c r="E60" s="843" t="s">
        <v>2154</v>
      </c>
      <c r="F60" s="843" t="s">
        <v>2154</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7" t="s">
        <v>96</v>
      </c>
      <c r="P60" s="957" t="s">
        <v>96</v>
      </c>
      <c r="Q60" s="957" t="s">
        <v>96</v>
      </c>
      <c r="R60" s="957" t="s">
        <v>96</v>
      </c>
      <c r="S60" s="957"/>
      <c r="T60" s="843" t="s">
        <v>637</v>
      </c>
      <c r="U60" s="843" t="s">
        <v>637</v>
      </c>
      <c r="V60" s="843" t="s">
        <v>637</v>
      </c>
      <c r="W60" s="843" t="s">
        <v>637</v>
      </c>
      <c r="X60" s="843"/>
      <c r="Y60" s="1000"/>
      <c r="Z60" s="846" t="s">
        <v>2155</v>
      </c>
      <c r="AA60" s="849" t="s">
        <v>2156</v>
      </c>
      <c r="AB60" s="846" t="s">
        <v>2157</v>
      </c>
      <c r="AC60" s="846" t="s">
        <v>2156</v>
      </c>
      <c r="AD60" s="846"/>
    </row>
    <row customHeight="1" ht="9">
      <c r="A61" s="845"/>
      <c r="B61" s="899">
        <v>44</v>
      </c>
      <c r="C61" s="843"/>
      <c r="D61" s="967" t="s">
        <v>2158</v>
      </c>
      <c r="E61" s="843"/>
      <c r="F61" s="843"/>
      <c r="G61" s="843"/>
      <c r="H61" s="891"/>
      <c r="I61" s="1005">
        <f>INDEX(TEMPLATE_NUMBER_POINT_FHD,B61,MATCH(TEMPLATE_SPHERE,TEMPLATE_SPHERE_LIST_FOR_NOTE,0))</f>
        <v>0</v>
      </c>
      <c r="J61" s="1005">
        <f>INDEX(TEMPLATE_DATA_POINT_FHD,B61,MATCH(TEMPLATE_SPHERE,TEMPLATE_SPHERE_LIST_FOR_NOTE,0))</f>
        <v>0</v>
      </c>
      <c r="K61" s="1005">
        <f>INDEX(TEMPLATE_NOTE_POINT_FHD,B61,MATCH(TEMPLATE_SPHERE,TEMPLATE_SPHERE_LIST_FOR_NOTE,0))</f>
        <v>0</v>
      </c>
      <c r="L61" s="844" t="str">
        <f>IF(I61=0,"",I61)</f>
        <v/>
      </c>
      <c r="M61" s="844" t="str">
        <f>IF(J61=0,"",J61)</f>
        <v/>
      </c>
      <c r="N61" s="844" t="str">
        <f>IF(K61=0,"",K61)</f>
        <v/>
      </c>
      <c r="O61" s="957"/>
      <c r="P61" s="957" t="s">
        <v>97</v>
      </c>
      <c r="Q61" s="957"/>
      <c r="R61" s="957"/>
      <c r="S61" s="957"/>
      <c r="T61" s="843"/>
      <c r="U61" s="843" t="s">
        <v>2159</v>
      </c>
      <c r="V61" s="843"/>
      <c r="W61" s="843"/>
      <c r="X61" s="843"/>
      <c r="Y61" s="1000"/>
      <c r="Z61" s="846"/>
      <c r="AA61" s="849"/>
      <c r="AB61" s="846"/>
      <c r="AC61" s="846"/>
      <c r="AD61" s="846"/>
    </row>
    <row customHeight="1" ht="9">
      <c r="A62" s="845"/>
      <c r="B62" s="899">
        <v>45</v>
      </c>
      <c r="C62" s="843"/>
      <c r="D62" s="967" t="s">
        <v>2160</v>
      </c>
      <c r="E62" s="843"/>
      <c r="F62" s="843"/>
      <c r="G62" s="843"/>
      <c r="H62" s="891"/>
      <c r="I62" s="1005">
        <f>INDEX(TEMPLATE_NUMBER_POINT_FHD,B62,MATCH(TEMPLATE_SPHERE,TEMPLATE_SPHERE_LIST_FOR_NOTE,0))</f>
        <v>0</v>
      </c>
      <c r="J62" s="1005">
        <f>INDEX(TEMPLATE_DATA_POINT_FHD,B62,MATCH(TEMPLATE_SPHERE,TEMPLATE_SPHERE_LIST_FOR_NOTE,0))</f>
        <v>0</v>
      </c>
      <c r="K62" s="1005">
        <f>INDEX(TEMPLATE_NOTE_POINT_FHD,B62,MATCH(TEMPLATE_SPHERE,TEMPLATE_SPHERE_LIST_FOR_NOTE,0))</f>
        <v>0</v>
      </c>
      <c r="L62" s="844" t="str">
        <f>IF(I62=0,"",I62)</f>
        <v/>
      </c>
      <c r="M62" s="844" t="str">
        <f>IF(J62=0,"",J62)</f>
        <v/>
      </c>
      <c r="N62" s="844" t="str">
        <f>IF(K62=0,"",K62)</f>
        <v/>
      </c>
      <c r="O62" s="957"/>
      <c r="P62" s="957" t="s">
        <v>116</v>
      </c>
      <c r="Q62" s="957"/>
      <c r="R62" s="957"/>
      <c r="S62" s="957"/>
      <c r="T62" s="843"/>
      <c r="U62" s="843" t="s">
        <v>2161</v>
      </c>
      <c r="V62" s="843"/>
      <c r="W62" s="843"/>
      <c r="X62" s="843"/>
      <c r="Y62" s="1000"/>
      <c r="Z62" s="846"/>
      <c r="AA62" s="849"/>
      <c r="AB62" s="846"/>
      <c r="AC62" s="846"/>
      <c r="AD62" s="846"/>
    </row>
    <row customHeight="1" ht="18">
      <c r="A63" s="845"/>
      <c r="B63" s="899">
        <v>46</v>
      </c>
      <c r="C63" s="843"/>
      <c r="D63" s="967" t="s">
        <v>2162</v>
      </c>
      <c r="E63" s="843"/>
      <c r="F63" s="843"/>
      <c r="G63" s="843"/>
      <c r="H63" s="891"/>
      <c r="I63" s="1005">
        <f>INDEX(TEMPLATE_NUMBER_POINT_FHD,B63,MATCH(TEMPLATE_SPHERE,TEMPLATE_SPHERE_LIST_FOR_NOTE,0))</f>
        <v>0</v>
      </c>
      <c r="J63" s="1005">
        <f>INDEX(TEMPLATE_DATA_POINT_FHD,B63,MATCH(TEMPLATE_SPHERE,TEMPLATE_SPHERE_LIST_FOR_NOTE,0))</f>
        <v>0</v>
      </c>
      <c r="K63" s="1005">
        <f>INDEX(TEMPLATE_NOTE_POINT_FHD,B63,MATCH(TEMPLATE_SPHERE,TEMPLATE_SPHERE_LIST_FOR_NOTE,0))</f>
        <v>0</v>
      </c>
      <c r="L63" s="844" t="str">
        <f>IF(I63=0,"",I63)</f>
        <v/>
      </c>
      <c r="M63" s="844" t="str">
        <f>IF(J63=0,"",J63)</f>
        <v/>
      </c>
      <c r="N63" s="844" t="str">
        <f>IF(K63=0,"",K63)</f>
        <v/>
      </c>
      <c r="O63" s="957"/>
      <c r="P63" s="957" t="s">
        <v>152</v>
      </c>
      <c r="Q63" s="957"/>
      <c r="R63" s="957"/>
      <c r="S63" s="957"/>
      <c r="T63" s="843"/>
      <c r="U63" s="843" t="s">
        <v>2163</v>
      </c>
      <c r="V63" s="843"/>
      <c r="W63" s="843"/>
      <c r="X63" s="843"/>
      <c r="Y63" s="1000"/>
      <c r="Z63" s="846"/>
      <c r="AA63" s="849"/>
      <c r="AB63" s="846"/>
      <c r="AC63" s="846"/>
      <c r="AD63" s="846"/>
    </row>
    <row customHeight="1" ht="18">
      <c r="A64" s="845"/>
      <c r="B64" s="899">
        <v>47</v>
      </c>
      <c r="C64" s="843"/>
      <c r="D64" s="967" t="s">
        <v>2164</v>
      </c>
      <c r="E64" s="843"/>
      <c r="F64" s="843"/>
      <c r="G64" s="843"/>
      <c r="H64" s="891"/>
      <c r="I64" s="1005">
        <f>INDEX(TEMPLATE_NUMBER_POINT_FHD,B64,MATCH(TEMPLATE_SPHERE,TEMPLATE_SPHERE_LIST_FOR_NOTE,0))</f>
        <v>0</v>
      </c>
      <c r="J64" s="1005">
        <f>INDEX(TEMPLATE_DATA_POINT_FHD,B64,MATCH(TEMPLATE_SPHERE,TEMPLATE_SPHERE_LIST_FOR_NOTE,0))</f>
        <v>0</v>
      </c>
      <c r="K64" s="1005">
        <f>INDEX(TEMPLATE_NOTE_POINT_FHD,B64,MATCH(TEMPLATE_SPHERE,TEMPLATE_SPHERE_LIST_FOR_NOTE,0))</f>
        <v>0</v>
      </c>
      <c r="L64" s="844" t="str">
        <f>IF(I64=0,"",I64)</f>
        <v/>
      </c>
      <c r="M64" s="844" t="str">
        <f>IF(J64=0,"",J64)</f>
        <v/>
      </c>
      <c r="N64" s="844" t="str">
        <f>IF(K64=0,"",K64)</f>
        <v/>
      </c>
      <c r="O64" s="957"/>
      <c r="P64" s="957" t="s">
        <v>153</v>
      </c>
      <c r="Q64" s="957"/>
      <c r="R64" s="957"/>
      <c r="S64" s="957"/>
      <c r="T64" s="843"/>
      <c r="U64" s="843" t="s">
        <v>2165</v>
      </c>
      <c r="V64" s="843"/>
      <c r="W64" s="843"/>
      <c r="X64" s="843"/>
      <c r="Y64" s="1000"/>
      <c r="Z64" s="846"/>
      <c r="AA64" s="849" t="s">
        <v>2166</v>
      </c>
      <c r="AB64" s="846"/>
      <c r="AC64" s="846"/>
      <c r="AD64" s="846"/>
    </row>
    <row customHeight="1" ht="18">
      <c r="A65" s="845"/>
      <c r="B65" s="899">
        <v>48</v>
      </c>
      <c r="C65" s="843"/>
      <c r="D65" s="967"/>
      <c r="E65" s="843"/>
      <c r="F65" s="843"/>
      <c r="G65" s="843"/>
      <c r="H65" s="891"/>
      <c r="I65" s="1005">
        <f>INDEX(TEMPLATE_NUMBER_POINT_FHD,B65,MATCH(TEMPLATE_SPHERE,TEMPLATE_SPHERE_LIST_FOR_NOTE,0))</f>
        <v>0</v>
      </c>
      <c r="J65" s="1005">
        <f>INDEX(TEMPLATE_DATA_POINT_FHD,B65,MATCH(TEMPLATE_SPHERE,TEMPLATE_SPHERE_LIST_FOR_NOTE,0))</f>
        <v>0</v>
      </c>
      <c r="K65" s="1005">
        <f>INDEX(TEMPLATE_NOTE_POINT_FHD,B65,MATCH(TEMPLATE_SPHERE,TEMPLATE_SPHERE_LIST_FOR_NOTE,0))</f>
        <v>0</v>
      </c>
      <c r="L65" s="844" t="str">
        <f>IF(I65=0,"",I65)</f>
        <v/>
      </c>
      <c r="M65" s="844" t="str">
        <f>IF(J65=0,"",J65)</f>
        <v/>
      </c>
      <c r="N65" s="844" t="str">
        <f>IF(K65=0,"",K65)</f>
        <v/>
      </c>
      <c r="O65" s="957"/>
      <c r="P65" s="957" t="s">
        <v>2079</v>
      </c>
      <c r="Q65" s="957"/>
      <c r="R65" s="957"/>
      <c r="S65" s="957"/>
      <c r="T65" s="843"/>
      <c r="U65" s="843" t="s">
        <v>2167</v>
      </c>
      <c r="V65" s="843"/>
      <c r="W65" s="843"/>
      <c r="X65" s="843"/>
      <c r="Y65" s="1000"/>
      <c r="Z65" s="846"/>
      <c r="AA65" s="849"/>
      <c r="AB65" s="846"/>
      <c r="AC65" s="846"/>
      <c r="AD65" s="846"/>
    </row>
    <row customHeight="1" ht="18">
      <c r="A66" s="845"/>
      <c r="B66" s="899">
        <v>49</v>
      </c>
      <c r="C66" s="843"/>
      <c r="D66" s="967"/>
      <c r="E66" s="843"/>
      <c r="F66" s="843"/>
      <c r="G66" s="843"/>
      <c r="H66" s="891"/>
      <c r="I66" s="1005">
        <f>INDEX(TEMPLATE_NUMBER_POINT_FHD,B66,MATCH(TEMPLATE_SPHERE,TEMPLATE_SPHERE_LIST_FOR_NOTE,0))</f>
        <v>0</v>
      </c>
      <c r="J66" s="1005">
        <f>INDEX(TEMPLATE_DATA_POINT_FHD,B66,MATCH(TEMPLATE_SPHERE,TEMPLATE_SPHERE_LIST_FOR_NOTE,0))</f>
        <v>0</v>
      </c>
      <c r="K66" s="1005">
        <f>INDEX(TEMPLATE_NOTE_POINT_FHD,B66,MATCH(TEMPLATE_SPHERE,TEMPLATE_SPHERE_LIST_FOR_NOTE,0))</f>
        <v>0</v>
      </c>
      <c r="L66" s="844" t="str">
        <f>IF(I66=0,"",I66)</f>
        <v/>
      </c>
      <c r="M66" s="844" t="str">
        <f>IF(J66=0,"",J66)</f>
        <v/>
      </c>
      <c r="N66" s="844" t="str">
        <f>IF(K66=0,"",K66)</f>
        <v/>
      </c>
      <c r="O66" s="957"/>
      <c r="P66" s="957" t="s">
        <v>2083</v>
      </c>
      <c r="Q66" s="957"/>
      <c r="R66" s="957"/>
      <c r="S66" s="957"/>
      <c r="T66" s="843"/>
      <c r="U66" s="843" t="s">
        <v>2168</v>
      </c>
      <c r="V66" s="843"/>
      <c r="W66" s="843"/>
      <c r="X66" s="843"/>
      <c r="Y66" s="1000"/>
      <c r="Z66" s="846"/>
      <c r="AA66" s="849"/>
      <c r="AB66" s="846"/>
      <c r="AC66" s="846"/>
      <c r="AD66" s="846"/>
    </row>
    <row customHeight="1" ht="27">
      <c r="A67" s="845"/>
      <c r="B67" s="899">
        <v>50</v>
      </c>
      <c r="C67" s="843"/>
      <c r="D67" s="967"/>
      <c r="E67" s="843"/>
      <c r="F67" s="843"/>
      <c r="G67" s="843"/>
      <c r="H67" s="891"/>
      <c r="I67" s="1005">
        <f>INDEX(TEMPLATE_NUMBER_POINT_FHD,B67,MATCH(TEMPLATE_SPHERE,TEMPLATE_SPHERE_LIST_FOR_NOTE,0))</f>
        <v>0</v>
      </c>
      <c r="J67" s="1005">
        <f>INDEX(TEMPLATE_DATA_POINT_FHD,B67,MATCH(TEMPLATE_SPHERE,TEMPLATE_SPHERE_LIST_FOR_NOTE,0))</f>
        <v>0</v>
      </c>
      <c r="K67" s="1005">
        <f>INDEX(TEMPLATE_NOTE_POINT_FHD,B67,MATCH(TEMPLATE_SPHERE,TEMPLATE_SPHERE_LIST_FOR_NOTE,0))</f>
        <v>0</v>
      </c>
      <c r="L67" s="844" t="str">
        <f>IF(I67=0,"",I67)</f>
        <v/>
      </c>
      <c r="M67" s="844" t="str">
        <f>IF(J67=0,"",J67)</f>
        <v/>
      </c>
      <c r="N67" s="844" t="str">
        <f>IF(K67=0,"",K67)</f>
        <v/>
      </c>
      <c r="O67" s="957"/>
      <c r="P67" s="957" t="s">
        <v>2169</v>
      </c>
      <c r="Q67" s="957"/>
      <c r="R67" s="957"/>
      <c r="S67" s="957"/>
      <c r="T67" s="843"/>
      <c r="U67" s="843" t="s">
        <v>2170</v>
      </c>
      <c r="V67" s="843"/>
      <c r="W67" s="843"/>
      <c r="X67" s="843"/>
      <c r="Y67" s="1000"/>
      <c r="Z67" s="846"/>
      <c r="AA67" s="849"/>
      <c r="AB67" s="846"/>
      <c r="AC67" s="846"/>
      <c r="AD67" s="846"/>
    </row>
    <row customHeight="1" ht="27">
      <c r="A68" s="845"/>
      <c r="B68" s="899">
        <v>51</v>
      </c>
      <c r="C68" s="843"/>
      <c r="D68" s="967"/>
      <c r="E68" s="843"/>
      <c r="F68" s="843"/>
      <c r="G68" s="843"/>
      <c r="H68" s="891"/>
      <c r="I68" s="1005">
        <f>INDEX(TEMPLATE_NUMBER_POINT_FHD,B68,MATCH(TEMPLATE_SPHERE,TEMPLATE_SPHERE_LIST_FOR_NOTE,0))</f>
        <v>0</v>
      </c>
      <c r="J68" s="1005">
        <f>INDEX(TEMPLATE_DATA_POINT_FHD,B68,MATCH(TEMPLATE_SPHERE,TEMPLATE_SPHERE_LIST_FOR_NOTE,0))</f>
        <v>0</v>
      </c>
      <c r="K68" s="1005">
        <f>INDEX(TEMPLATE_NOTE_POINT_FHD,B68,MATCH(TEMPLATE_SPHERE,TEMPLATE_SPHERE_LIST_FOR_NOTE,0))</f>
        <v>0</v>
      </c>
      <c r="L68" s="844" t="str">
        <f>IF(I68=0,"",I68)</f>
        <v/>
      </c>
      <c r="M68" s="844" t="str">
        <f>IF(J68=0,"",J68)</f>
        <v/>
      </c>
      <c r="N68" s="844" t="str">
        <f>IF(K68=0,"",K68)</f>
        <v/>
      </c>
      <c r="O68" s="957"/>
      <c r="P68" s="957" t="s">
        <v>2171</v>
      </c>
      <c r="Q68" s="957"/>
      <c r="R68" s="957"/>
      <c r="S68" s="957"/>
      <c r="T68" s="843"/>
      <c r="U68" s="843" t="s">
        <v>2172</v>
      </c>
      <c r="V68" s="843"/>
      <c r="W68" s="843"/>
      <c r="X68" s="843"/>
      <c r="Y68" s="1000"/>
      <c r="Z68" s="846"/>
      <c r="AA68" s="849"/>
      <c r="AB68" s="846"/>
      <c r="AC68" s="846"/>
      <c r="AD68" s="846"/>
    </row>
    <row customHeight="1" ht="9">
      <c r="A69" s="845"/>
      <c r="B69" s="899">
        <v>52</v>
      </c>
      <c r="C69" s="843"/>
      <c r="D69" s="967" t="s">
        <v>2173</v>
      </c>
      <c r="E69" s="843"/>
      <c r="F69" s="843"/>
      <c r="G69" s="843"/>
      <c r="H69" s="891"/>
      <c r="I69" s="1005">
        <f>INDEX(TEMPLATE_NUMBER_POINT_FHD,B69,MATCH(TEMPLATE_SPHERE,TEMPLATE_SPHERE_LIST_FOR_NOTE,0))</f>
        <v>0</v>
      </c>
      <c r="J69" s="1005">
        <f>INDEX(TEMPLATE_DATA_POINT_FHD,B69,MATCH(TEMPLATE_SPHERE,TEMPLATE_SPHERE_LIST_FOR_NOTE,0))</f>
        <v>0</v>
      </c>
      <c r="K69" s="1005">
        <f>INDEX(TEMPLATE_NOTE_POINT_FHD,B69,MATCH(TEMPLATE_SPHERE,TEMPLATE_SPHERE_LIST_FOR_NOTE,0))</f>
        <v>0</v>
      </c>
      <c r="L69" s="844" t="str">
        <f>IF(I69=0,"",I69)</f>
        <v/>
      </c>
      <c r="M69" s="844" t="str">
        <f>IF(J69=0,"",J69)</f>
        <v/>
      </c>
      <c r="N69" s="844" t="str">
        <f>IF(K69=0,"",K69)</f>
        <v/>
      </c>
      <c r="O69" s="957"/>
      <c r="P69" s="957" t="s">
        <v>154</v>
      </c>
      <c r="Q69" s="957"/>
      <c r="R69" s="957"/>
      <c r="S69" s="957"/>
      <c r="T69" s="843"/>
      <c r="U69" s="843" t="s">
        <v>2174</v>
      </c>
      <c r="V69" s="843"/>
      <c r="W69" s="843"/>
      <c r="X69" s="843"/>
      <c r="Y69" s="1000"/>
      <c r="Z69" s="846"/>
      <c r="AA69" s="849"/>
      <c r="AB69" s="846"/>
      <c r="AC69" s="846"/>
      <c r="AD69" s="846"/>
    </row>
    <row customHeight="1" ht="27">
      <c r="A70" s="845"/>
      <c r="B70" s="899">
        <v>53</v>
      </c>
      <c r="C70" s="843"/>
      <c r="D70" s="967"/>
      <c r="E70" s="843" t="s">
        <v>2158</v>
      </c>
      <c r="F70" s="843"/>
      <c r="G70" s="843"/>
      <c r="H70" s="891"/>
      <c r="I70" s="1005">
        <f>INDEX(TEMPLATE_NUMBER_POINT_FHD,B70,MATCH(TEMPLATE_SPHERE,TEMPLATE_SPHERE_LIST_FOR_NOTE,0))</f>
        <v>0</v>
      </c>
      <c r="J70" s="1005">
        <f>INDEX(TEMPLATE_DATA_POINT_FHD,B70,MATCH(TEMPLATE_SPHERE,TEMPLATE_SPHERE_LIST_FOR_NOTE,0))</f>
        <v>0</v>
      </c>
      <c r="K70" s="1005">
        <f>INDEX(TEMPLATE_NOTE_POINT_FHD,B70,MATCH(TEMPLATE_SPHERE,TEMPLATE_SPHERE_LIST_FOR_NOTE,0))</f>
        <v>0</v>
      </c>
      <c r="L70" s="844" t="str">
        <f>IF(I70=0,"",I70)</f>
        <v/>
      </c>
      <c r="M70" s="844" t="str">
        <f>IF(J70=0,"",J70)</f>
        <v/>
      </c>
      <c r="N70" s="844" t="str">
        <f>IF(K70=0,"",K70)</f>
        <v/>
      </c>
      <c r="O70" s="957"/>
      <c r="P70" s="957"/>
      <c r="Q70" s="957" t="s">
        <v>97</v>
      </c>
      <c r="R70" s="957"/>
      <c r="S70" s="957"/>
      <c r="T70" s="843"/>
      <c r="U70" s="843"/>
      <c r="V70" s="843" t="s">
        <v>2175</v>
      </c>
      <c r="W70" s="843"/>
      <c r="X70" s="843"/>
      <c r="Y70" s="1000"/>
      <c r="Z70" s="846"/>
      <c r="AA70" s="849"/>
      <c r="AB70" s="846"/>
      <c r="AC70" s="846"/>
      <c r="AD70" s="846"/>
    </row>
    <row customHeight="1" ht="36">
      <c r="A71" s="845"/>
      <c r="B71" s="899">
        <v>54</v>
      </c>
      <c r="C71" s="843"/>
      <c r="D71" s="967"/>
      <c r="E71" s="843" t="s">
        <v>2160</v>
      </c>
      <c r="F71" s="843"/>
      <c r="G71" s="843"/>
      <c r="H71" s="891"/>
      <c r="I71" s="1005">
        <f>INDEX(TEMPLATE_NUMBER_POINT_FHD,B71,MATCH(TEMPLATE_SPHERE,TEMPLATE_SPHERE_LIST_FOR_NOTE,0))</f>
        <v>0</v>
      </c>
      <c r="J71" s="1005">
        <f>INDEX(TEMPLATE_DATA_POINT_FHD,B71,MATCH(TEMPLATE_SPHERE,TEMPLATE_SPHERE_LIST_FOR_NOTE,0))</f>
        <v>0</v>
      </c>
      <c r="K71" s="1005">
        <f>INDEX(TEMPLATE_NOTE_POINT_FHD,B71,MATCH(TEMPLATE_SPHERE,TEMPLATE_SPHERE_LIST_FOR_NOTE,0))</f>
        <v>0</v>
      </c>
      <c r="L71" s="844" t="str">
        <f>IF(I71=0,"",I71)</f>
        <v/>
      </c>
      <c r="M71" s="844" t="str">
        <f>IF(J71=0,"",J71)</f>
        <v/>
      </c>
      <c r="N71" s="844" t="str">
        <f>IF(K71=0,"",K71)</f>
        <v/>
      </c>
      <c r="O71" s="957"/>
      <c r="P71" s="957"/>
      <c r="Q71" s="957" t="s">
        <v>116</v>
      </c>
      <c r="R71" s="957"/>
      <c r="S71" s="957"/>
      <c r="T71" s="843"/>
      <c r="U71" s="843"/>
      <c r="V71" s="843" t="s">
        <v>2176</v>
      </c>
      <c r="W71" s="843"/>
      <c r="X71" s="843"/>
      <c r="Y71" s="1000"/>
      <c r="Z71" s="846"/>
      <c r="AA71" s="849"/>
      <c r="AB71" s="846"/>
      <c r="AC71" s="846"/>
      <c r="AD71" s="846"/>
    </row>
    <row customHeight="1" ht="27">
      <c r="A72" s="845"/>
      <c r="B72" s="899">
        <v>55</v>
      </c>
      <c r="C72" s="843"/>
      <c r="D72" s="967"/>
      <c r="E72" s="843" t="s">
        <v>2162</v>
      </c>
      <c r="F72" s="843"/>
      <c r="G72" s="843"/>
      <c r="H72" s="891"/>
      <c r="I72" s="1005">
        <f>INDEX(TEMPLATE_NUMBER_POINT_FHD,B72,MATCH(TEMPLATE_SPHERE,TEMPLATE_SPHERE_LIST_FOR_NOTE,0))</f>
        <v>0</v>
      </c>
      <c r="J72" s="1005">
        <f>INDEX(TEMPLATE_DATA_POINT_FHD,B72,MATCH(TEMPLATE_SPHERE,TEMPLATE_SPHERE_LIST_FOR_NOTE,0))</f>
        <v>0</v>
      </c>
      <c r="K72" s="1005">
        <f>INDEX(TEMPLATE_NOTE_POINT_FHD,B72,MATCH(TEMPLATE_SPHERE,TEMPLATE_SPHERE_LIST_FOR_NOTE,0))</f>
        <v>0</v>
      </c>
      <c r="L72" s="844" t="str">
        <f>IF(I72=0,"",I72)</f>
        <v/>
      </c>
      <c r="M72" s="844" t="str">
        <f>IF(J72=0,"",J72)</f>
        <v/>
      </c>
      <c r="N72" s="844" t="str">
        <f>IF(K72=0,"",K72)</f>
        <v/>
      </c>
      <c r="O72" s="957"/>
      <c r="P72" s="957"/>
      <c r="Q72" s="957" t="s">
        <v>152</v>
      </c>
      <c r="R72" s="957"/>
      <c r="S72" s="957"/>
      <c r="T72" s="843"/>
      <c r="U72" s="843"/>
      <c r="V72" s="843" t="s">
        <v>2177</v>
      </c>
      <c r="W72" s="843"/>
      <c r="X72" s="843"/>
      <c r="Y72" s="1000"/>
      <c r="Z72" s="846"/>
      <c r="AA72" s="849"/>
      <c r="AB72" s="846"/>
      <c r="AC72" s="846"/>
      <c r="AD72" s="846"/>
    </row>
    <row customHeight="1" ht="36">
      <c r="A73" s="845"/>
      <c r="B73" s="899">
        <v>56</v>
      </c>
      <c r="C73" s="843"/>
      <c r="D73" s="967"/>
      <c r="E73" s="843" t="s">
        <v>2164</v>
      </c>
      <c r="F73" s="843"/>
      <c r="G73" s="843"/>
      <c r="H73" s="891"/>
      <c r="I73" s="1005">
        <f>INDEX(TEMPLATE_NUMBER_POINT_FHD,B73,MATCH(TEMPLATE_SPHERE,TEMPLATE_SPHERE_LIST_FOR_NOTE,0))</f>
        <v>0</v>
      </c>
      <c r="J73" s="1005">
        <f>INDEX(TEMPLATE_DATA_POINT_FHD,B73,MATCH(TEMPLATE_SPHERE,TEMPLATE_SPHERE_LIST_FOR_NOTE,0))</f>
        <v>0</v>
      </c>
      <c r="K73" s="1005">
        <f>INDEX(TEMPLATE_NOTE_POINT_FHD,B73,MATCH(TEMPLATE_SPHERE,TEMPLATE_SPHERE_LIST_FOR_NOTE,0))</f>
        <v>0</v>
      </c>
      <c r="L73" s="844" t="str">
        <f>IF(I73=0,"",I73)</f>
        <v/>
      </c>
      <c r="M73" s="844" t="str">
        <f>IF(J73=0,"",J73)</f>
        <v/>
      </c>
      <c r="N73" s="844" t="str">
        <f>IF(K73=0,"",K73)</f>
        <v/>
      </c>
      <c r="O73" s="957"/>
      <c r="P73" s="957"/>
      <c r="Q73" s="957" t="s">
        <v>153</v>
      </c>
      <c r="R73" s="957"/>
      <c r="S73" s="957"/>
      <c r="T73" s="843"/>
      <c r="U73" s="843"/>
      <c r="V73" s="843" t="s">
        <v>2178</v>
      </c>
      <c r="W73" s="843"/>
      <c r="X73" s="843"/>
      <c r="Y73" s="1000"/>
      <c r="Z73" s="846"/>
      <c r="AA73" s="849"/>
      <c r="AB73" s="846"/>
      <c r="AC73" s="846"/>
      <c r="AD73" s="846"/>
    </row>
    <row customHeight="1" ht="18">
      <c r="A74" s="845"/>
      <c r="B74" s="899">
        <v>57</v>
      </c>
      <c r="C74" s="843"/>
      <c r="D74" s="967"/>
      <c r="E74" s="843" t="s">
        <v>2173</v>
      </c>
      <c r="F74" s="843"/>
      <c r="G74" s="843"/>
      <c r="H74" s="891"/>
      <c r="I74" s="1005">
        <f>INDEX(TEMPLATE_NUMBER_POINT_FHD,B74,MATCH(TEMPLATE_SPHERE,TEMPLATE_SPHERE_LIST_FOR_NOTE,0))</f>
        <v>0</v>
      </c>
      <c r="J74" s="1005">
        <f>INDEX(TEMPLATE_DATA_POINT_FHD,B74,MATCH(TEMPLATE_SPHERE,TEMPLATE_SPHERE_LIST_FOR_NOTE,0))</f>
        <v>0</v>
      </c>
      <c r="K74" s="1005">
        <f>INDEX(TEMPLATE_NOTE_POINT_FHD,B74,MATCH(TEMPLATE_SPHERE,TEMPLATE_SPHERE_LIST_FOR_NOTE,0))</f>
        <v>0</v>
      </c>
      <c r="L74" s="844" t="str">
        <f>IF(I74=0,"",I74)</f>
        <v/>
      </c>
      <c r="M74" s="844" t="str">
        <f>IF(J74=0,"",J74)</f>
        <v/>
      </c>
      <c r="N74" s="844" t="str">
        <f>IF(K74=0,"",K74)</f>
        <v/>
      </c>
      <c r="O74" s="957"/>
      <c r="P74" s="957"/>
      <c r="Q74" s="957" t="s">
        <v>154</v>
      </c>
      <c r="R74" s="957"/>
      <c r="S74" s="957"/>
      <c r="T74" s="843"/>
      <c r="U74" s="843"/>
      <c r="V74" s="843" t="s">
        <v>2179</v>
      </c>
      <c r="W74" s="843"/>
      <c r="X74" s="843"/>
      <c r="Y74" s="1000"/>
      <c r="Z74" s="846"/>
      <c r="AA74" s="849"/>
      <c r="AB74" s="846"/>
      <c r="AC74" s="846"/>
      <c r="AD74" s="846"/>
    </row>
    <row customHeight="1" ht="18">
      <c r="A75" s="845"/>
      <c r="B75" s="899">
        <v>58</v>
      </c>
      <c r="C75" s="843"/>
      <c r="D75" s="967"/>
      <c r="E75" s="843"/>
      <c r="F75" s="843" t="s">
        <v>2158</v>
      </c>
      <c r="G75" s="843"/>
      <c r="H75" s="891"/>
      <c r="I75" s="1005">
        <f>INDEX(TEMPLATE_NUMBER_POINT_FHD,B75,MATCH(TEMPLATE_SPHERE,TEMPLATE_SPHERE_LIST_FOR_NOTE,0))</f>
        <v>0</v>
      </c>
      <c r="J75" s="1005">
        <f>INDEX(TEMPLATE_DATA_POINT_FHD,B75,MATCH(TEMPLATE_SPHERE,TEMPLATE_SPHERE_LIST_FOR_NOTE,0))</f>
        <v>0</v>
      </c>
      <c r="K75" s="1005">
        <f>INDEX(TEMPLATE_NOTE_POINT_FHD,B75,MATCH(TEMPLATE_SPHERE,TEMPLATE_SPHERE_LIST_FOR_NOTE,0))</f>
        <v>0</v>
      </c>
      <c r="L75" s="844" t="str">
        <f>IF(I75=0,"",I75)</f>
        <v/>
      </c>
      <c r="M75" s="844" t="str">
        <f>IF(J75=0,"",J75)</f>
        <v/>
      </c>
      <c r="N75" s="844" t="str">
        <f>IF(K75=0,"",K75)</f>
        <v/>
      </c>
      <c r="O75" s="957"/>
      <c r="P75" s="957"/>
      <c r="Q75" s="957"/>
      <c r="R75" s="957" t="s">
        <v>97</v>
      </c>
      <c r="S75" s="957"/>
      <c r="T75" s="843"/>
      <c r="U75" s="843"/>
      <c r="V75" s="843"/>
      <c r="W75" s="843" t="s">
        <v>2180</v>
      </c>
      <c r="X75" s="843"/>
      <c r="Y75" s="1000"/>
      <c r="Z75" s="846"/>
      <c r="AA75" s="849"/>
      <c r="AB75" s="846"/>
      <c r="AC75" s="846"/>
      <c r="AD75" s="846"/>
    </row>
    <row customHeight="1" ht="36">
      <c r="A76" s="845"/>
      <c r="B76" s="899">
        <v>59</v>
      </c>
      <c r="C76" s="843"/>
      <c r="D76" s="967"/>
      <c r="E76" s="843"/>
      <c r="F76" s="843" t="s">
        <v>2160</v>
      </c>
      <c r="G76" s="843"/>
      <c r="H76" s="891"/>
      <c r="I76" s="1005">
        <f>INDEX(TEMPLATE_NUMBER_POINT_FHD,B76,MATCH(TEMPLATE_SPHERE,TEMPLATE_SPHERE_LIST_FOR_NOTE,0))</f>
        <v>0</v>
      </c>
      <c r="J76" s="1005">
        <f>INDEX(TEMPLATE_DATA_POINT_FHD,B76,MATCH(TEMPLATE_SPHERE,TEMPLATE_SPHERE_LIST_FOR_NOTE,0))</f>
        <v>0</v>
      </c>
      <c r="K76" s="1005">
        <f>INDEX(TEMPLATE_NOTE_POINT_FHD,B76,MATCH(TEMPLATE_SPHERE,TEMPLATE_SPHERE_LIST_FOR_NOTE,0))</f>
        <v>0</v>
      </c>
      <c r="L76" s="844" t="str">
        <f>IF(I76=0,"",I76)</f>
        <v/>
      </c>
      <c r="M76" s="844" t="str">
        <f>IF(J76=0,"",J76)</f>
        <v/>
      </c>
      <c r="N76" s="844" t="str">
        <f>IF(K76=0,"",K76)</f>
        <v/>
      </c>
      <c r="O76" s="957"/>
      <c r="P76" s="957"/>
      <c r="Q76" s="957"/>
      <c r="R76" s="957" t="s">
        <v>116</v>
      </c>
      <c r="S76" s="957"/>
      <c r="T76" s="843"/>
      <c r="U76" s="843"/>
      <c r="V76" s="843"/>
      <c r="W76" s="843" t="s">
        <v>2181</v>
      </c>
      <c r="X76" s="843"/>
      <c r="Y76" s="1000"/>
      <c r="Z76" s="846"/>
      <c r="AA76" s="849"/>
      <c r="AB76" s="846"/>
      <c r="AC76" s="846"/>
      <c r="AD76" s="846"/>
    </row>
    <row customHeight="1" ht="18">
      <c r="A77" s="845"/>
      <c r="B77" s="899">
        <v>60</v>
      </c>
      <c r="C77" s="843"/>
      <c r="D77" s="967"/>
      <c r="E77" s="843"/>
      <c r="F77" s="843" t="s">
        <v>2162</v>
      </c>
      <c r="G77" s="843"/>
      <c r="H77" s="891"/>
      <c r="I77" s="1005">
        <f>INDEX(TEMPLATE_NUMBER_POINT_FHD,B77,MATCH(TEMPLATE_SPHERE,TEMPLATE_SPHERE_LIST_FOR_NOTE,0))</f>
        <v>0</v>
      </c>
      <c r="J77" s="1005">
        <f>INDEX(TEMPLATE_DATA_POINT_FHD,B77,MATCH(TEMPLATE_SPHERE,TEMPLATE_SPHERE_LIST_FOR_NOTE,0))</f>
        <v>0</v>
      </c>
      <c r="K77" s="1005">
        <f>INDEX(TEMPLATE_NOTE_POINT_FHD,B77,MATCH(TEMPLATE_SPHERE,TEMPLATE_SPHERE_LIST_FOR_NOTE,0))</f>
        <v>0</v>
      </c>
      <c r="L77" s="844" t="str">
        <f>IF(I77=0,"",I77)</f>
        <v/>
      </c>
      <c r="M77" s="844" t="str">
        <f>IF(J77=0,"",J77)</f>
        <v/>
      </c>
      <c r="N77" s="844" t="str">
        <f>IF(K77=0,"",K77)</f>
        <v/>
      </c>
      <c r="O77" s="957"/>
      <c r="P77" s="957"/>
      <c r="Q77" s="957"/>
      <c r="R77" s="957" t="s">
        <v>152</v>
      </c>
      <c r="S77" s="957"/>
      <c r="T77" s="843"/>
      <c r="U77" s="843"/>
      <c r="V77" s="843"/>
      <c r="W77" s="843" t="s">
        <v>2182</v>
      </c>
      <c r="X77" s="843"/>
      <c r="Y77" s="1000"/>
      <c r="Z77" s="846"/>
      <c r="AA77" s="849"/>
      <c r="AB77" s="846"/>
      <c r="AC77" s="846"/>
      <c r="AD77" s="846"/>
    </row>
    <row customHeight="1" ht="72">
      <c r="A78" s="845"/>
      <c r="B78" s="899">
        <v>61</v>
      </c>
      <c r="C78" s="843" t="s">
        <v>2158</v>
      </c>
      <c r="D78" s="967"/>
      <c r="E78" s="843"/>
      <c r="F78" s="843"/>
      <c r="G78" s="843"/>
      <c r="H78" s="891"/>
      <c r="I78" s="1005" t="str">
        <f>INDEX(TEMPLATE_NUMBER_POINT_FHD,B78,MATCH(TEMPLATE_SPHERE,TEMPLATE_SPHERE_LIST_FOR_NOTE,0))</f>
        <v>7</v>
      </c>
      <c r="J78" s="1005"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5"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4" t="str">
        <f>IF(I78=0,"",I78)</f>
        <v>7</v>
      </c>
      <c r="M78" s="844"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4"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7" t="s">
        <v>97</v>
      </c>
      <c r="P78" s="957"/>
      <c r="Q78" s="957"/>
      <c r="R78" s="957"/>
      <c r="S78" s="957"/>
      <c r="T78" s="843" t="s">
        <v>642</v>
      </c>
      <c r="U78" s="843"/>
      <c r="V78" s="843"/>
      <c r="W78" s="843"/>
      <c r="X78" s="843"/>
      <c r="Y78" s="1000"/>
      <c r="Z78" s="846" t="s">
        <v>2183</v>
      </c>
      <c r="AA78" s="849"/>
      <c r="AB78" s="846"/>
      <c r="AC78" s="846"/>
      <c r="AD78" s="846"/>
    </row>
    <row customHeight="1" ht="36">
      <c r="A79" s="845"/>
      <c r="B79" s="899">
        <v>62</v>
      </c>
      <c r="C79" s="843" t="s">
        <v>2160</v>
      </c>
      <c r="D79" s="967"/>
      <c r="E79" s="843"/>
      <c r="F79" s="843"/>
      <c r="G79" s="843"/>
      <c r="H79" s="891"/>
      <c r="I79" s="1005" t="str">
        <f>INDEX(TEMPLATE_NUMBER_POINT_FHD,B79,MATCH(TEMPLATE_SPHERE,TEMPLATE_SPHERE_LIST_FOR_NOTE,0))</f>
        <v>8</v>
      </c>
      <c r="J79" s="1005"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5"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4" t="str">
        <f>IF(I79=0,"",I79)</f>
        <v>8</v>
      </c>
      <c r="M79" s="844" t="str">
        <f>IF(J79=0,"",J79)</f>
        <v>Тепловая нагрузка по договорам, заключенным в рамках осуществления регулируемых видов деятельности</v>
      </c>
      <c r="N79" s="844"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7" t="s">
        <v>116</v>
      </c>
      <c r="P79" s="957"/>
      <c r="Q79" s="957"/>
      <c r="R79" s="957"/>
      <c r="S79" s="957"/>
      <c r="T79" s="843" t="s">
        <v>2184</v>
      </c>
      <c r="U79" s="843"/>
      <c r="V79" s="843"/>
      <c r="W79" s="843"/>
      <c r="X79" s="843"/>
      <c r="Y79" s="1000"/>
      <c r="Z79" s="846" t="s">
        <v>2185</v>
      </c>
      <c r="AA79" s="849"/>
      <c r="AB79" s="846"/>
      <c r="AC79" s="846"/>
      <c r="AD79" s="846"/>
    </row>
    <row customHeight="1" ht="45">
      <c r="A80" s="845"/>
      <c r="B80" s="899">
        <v>63</v>
      </c>
      <c r="C80" s="843" t="s">
        <v>2162</v>
      </c>
      <c r="D80" s="967"/>
      <c r="E80" s="843"/>
      <c r="F80" s="843"/>
      <c r="G80" s="843"/>
      <c r="H80" s="891"/>
      <c r="I80" s="1005" t="str">
        <f>INDEX(TEMPLATE_NUMBER_POINT_FHD,B80,MATCH(TEMPLATE_SPHERE,TEMPLATE_SPHERE_LIST_FOR_NOTE,0))</f>
        <v>9</v>
      </c>
      <c r="J80" s="1005"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5"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4" t="str">
        <f>IF(I80=0,"",I80)</f>
        <v>9</v>
      </c>
      <c r="M80" s="844" t="str">
        <f>IF(J80=0,"",J80)</f>
        <v>Объем вырабатываемой регулируемой организацией тепловой энергии в рамках осуществления регулируемых видов деятельности</v>
      </c>
      <c r="N80" s="844"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7" t="s">
        <v>152</v>
      </c>
      <c r="P80" s="957"/>
      <c r="Q80" s="957"/>
      <c r="R80" s="957"/>
      <c r="S80" s="957"/>
      <c r="T80" s="843" t="s">
        <v>2186</v>
      </c>
      <c r="U80" s="843"/>
      <c r="V80" s="843"/>
      <c r="W80" s="843"/>
      <c r="X80" s="843"/>
      <c r="Y80" s="1000"/>
      <c r="Z80" s="846" t="s">
        <v>2187</v>
      </c>
      <c r="AA80" s="849"/>
      <c r="AB80" s="846"/>
      <c r="AC80" s="846"/>
      <c r="AD80" s="846"/>
    </row>
    <row customHeight="1" ht="36">
      <c r="A81" s="845"/>
      <c r="B81" s="899">
        <v>64</v>
      </c>
      <c r="C81" s="843" t="s">
        <v>2164</v>
      </c>
      <c r="D81" s="967"/>
      <c r="E81" s="843"/>
      <c r="F81" s="843"/>
      <c r="G81" s="843"/>
      <c r="H81" s="891"/>
      <c r="I81" s="1005" t="str">
        <f>INDEX(TEMPLATE_NUMBER_POINT_FHD,B81,MATCH(TEMPLATE_SPHERE,TEMPLATE_SPHERE_LIST_FOR_NOTE,0))</f>
        <v>9.1</v>
      </c>
      <c r="J81" s="1005"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5" t="str">
        <f>INDEX(TEMPLATE_NOTE_POINT_FHD,B81,MATCH(TEMPLATE_SPHERE,TEMPLATE_SPHERE_LIST_FOR_NOTE,0))</f>
        <v>Информация указывается только едиными теплоснабжающими организациями.</v>
      </c>
      <c r="L81" s="844" t="str">
        <f>IF(I81=0,"",I81)</f>
        <v>9.1</v>
      </c>
      <c r="M81" s="844" t="str">
        <f>IF(J81=0,"",J81)</f>
        <v>Объем приобретаемой регулируемой организацией тепловой энергии в рамках осуществления регулируемых видов деятельности</v>
      </c>
      <c r="N81" s="844" t="str">
        <f>IF(K81=0,"",K81)</f>
        <v>Информация указывается только едиными теплоснабжающими организациями.</v>
      </c>
      <c r="O81" s="957" t="s">
        <v>2070</v>
      </c>
      <c r="P81" s="957"/>
      <c r="Q81" s="957"/>
      <c r="R81" s="957"/>
      <c r="S81" s="957"/>
      <c r="T81" s="843" t="s">
        <v>2188</v>
      </c>
      <c r="U81" s="843"/>
      <c r="V81" s="843"/>
      <c r="W81" s="843"/>
      <c r="X81" s="843"/>
      <c r="Y81" s="1000"/>
      <c r="Z81" s="846" t="s">
        <v>2189</v>
      </c>
      <c r="AA81" s="849"/>
      <c r="AB81" s="846"/>
      <c r="AC81" s="846"/>
      <c r="AD81" s="846"/>
    </row>
    <row customHeight="1" ht="90">
      <c r="A82" s="845"/>
      <c r="B82" s="899">
        <v>65</v>
      </c>
      <c r="C82" s="843" t="s">
        <v>2173</v>
      </c>
      <c r="D82" s="967"/>
      <c r="E82" s="843"/>
      <c r="F82" s="843"/>
      <c r="G82" s="843"/>
      <c r="H82" s="891"/>
      <c r="I82" s="1005" t="str">
        <f>INDEX(TEMPLATE_NUMBER_POINT_FHD,B82,MATCH(TEMPLATE_SPHERE,TEMPLATE_SPHERE_LIST_FOR_NOTE,0))</f>
        <v>10</v>
      </c>
      <c r="J82" s="1005"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5"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4" t="str">
        <f>IF(I82=0,"",I82)</f>
        <v>10</v>
      </c>
      <c r="M82" s="844"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4"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7" t="s">
        <v>153</v>
      </c>
      <c r="P82" s="957"/>
      <c r="Q82" s="957"/>
      <c r="R82" s="957"/>
      <c r="S82" s="957"/>
      <c r="T82" s="843" t="s">
        <v>2190</v>
      </c>
      <c r="U82" s="843"/>
      <c r="V82" s="843"/>
      <c r="W82" s="843"/>
      <c r="X82" s="843"/>
      <c r="Y82" s="1000"/>
      <c r="Z82" s="846" t="s">
        <v>2191</v>
      </c>
      <c r="AA82" s="849"/>
      <c r="AB82" s="846"/>
      <c r="AC82" s="846"/>
      <c r="AD82" s="846"/>
    </row>
    <row customHeight="1" ht="9">
      <c r="A83" s="845"/>
      <c r="B83" s="899">
        <v>66</v>
      </c>
      <c r="C83" s="843"/>
      <c r="D83" s="967"/>
      <c r="E83" s="843"/>
      <c r="F83" s="843"/>
      <c r="G83" s="843"/>
      <c r="H83" s="891"/>
      <c r="I83" s="1005" t="str">
        <f>INDEX(TEMPLATE_NUMBER_POINT_FHD,B83,MATCH(TEMPLATE_SPHERE,TEMPLATE_SPHERE_LIST_FOR_NOTE,0))</f>
        <v>10.1</v>
      </c>
      <c r="J83" s="1005" t="str">
        <f>INDEX(TEMPLATE_DATA_POINT_FHD,B83,MATCH(TEMPLATE_SPHERE,TEMPLATE_SPHERE_LIST_FOR_NOTE,0))</f>
        <v>По приборам учёта </v>
      </c>
      <c r="K83" s="1005">
        <f>INDEX(TEMPLATE_NOTE_POINT_FHD,B83,MATCH(TEMPLATE_SPHERE,TEMPLATE_SPHERE_LIST_FOR_NOTE,0))</f>
        <v>0</v>
      </c>
      <c r="L83" s="844" t="str">
        <f>IF(I83=0,"",I83)</f>
        <v>10.1</v>
      </c>
      <c r="M83" s="844" t="str">
        <f>IF(J83=0,"",J83)</f>
        <v>По приборам учёта </v>
      </c>
      <c r="N83" s="844" t="str">
        <f>IF(K83=0,"",K83)</f>
        <v/>
      </c>
      <c r="O83" s="957" t="s">
        <v>2079</v>
      </c>
      <c r="P83" s="957"/>
      <c r="Q83" s="957"/>
      <c r="R83" s="957"/>
      <c r="S83" s="957"/>
      <c r="T83" s="843" t="s">
        <v>2192</v>
      </c>
      <c r="U83" s="843"/>
      <c r="V83" s="843"/>
      <c r="W83" s="843"/>
      <c r="X83" s="843"/>
      <c r="Y83" s="1000"/>
      <c r="Z83" s="846"/>
      <c r="AA83" s="849"/>
      <c r="AB83" s="846"/>
      <c r="AC83" s="846"/>
      <c r="AD83" s="846"/>
    </row>
    <row customHeight="1" ht="54">
      <c r="A84" s="845"/>
      <c r="B84" s="899">
        <v>67</v>
      </c>
      <c r="C84" s="843"/>
      <c r="D84" s="967"/>
      <c r="E84" s="843"/>
      <c r="F84" s="843"/>
      <c r="G84" s="843"/>
      <c r="H84" s="891"/>
      <c r="I84" s="1005" t="str">
        <f>INDEX(TEMPLATE_NUMBER_POINT_FHD,B84,MATCH(TEMPLATE_SPHERE,TEMPLATE_SPHERE_LIST_FOR_NOTE,0))</f>
        <v>10.1.1</v>
      </c>
      <c r="J84" s="1005"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5">
        <f>INDEX(TEMPLATE_NOTE_POINT_FHD,B84,MATCH(TEMPLATE_SPHERE,TEMPLATE_SPHERE_LIST_FOR_NOTE,0))</f>
        <v>0</v>
      </c>
      <c r="L84" s="844" t="str">
        <f>IF(I84=0,"",I84)</f>
        <v>10.1.1</v>
      </c>
      <c r="M84" s="844"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4" t="str">
        <f>IF(K84=0,"",K84)</f>
        <v/>
      </c>
      <c r="O84" s="957" t="s">
        <v>2193</v>
      </c>
      <c r="P84" s="957"/>
      <c r="Q84" s="957"/>
      <c r="R84" s="957"/>
      <c r="S84" s="957"/>
      <c r="T84" s="843" t="s">
        <v>2194</v>
      </c>
      <c r="U84" s="843"/>
      <c r="V84" s="843"/>
      <c r="W84" s="843"/>
      <c r="X84" s="843"/>
      <c r="Y84" s="1000"/>
      <c r="Z84" s="846"/>
      <c r="AA84" s="849"/>
      <c r="AB84" s="846"/>
      <c r="AC84" s="846"/>
      <c r="AD84" s="846"/>
    </row>
    <row customHeight="1" ht="9">
      <c r="A85" s="845"/>
      <c r="B85" s="899">
        <v>68</v>
      </c>
      <c r="C85" s="843"/>
      <c r="D85" s="967"/>
      <c r="E85" s="843"/>
      <c r="F85" s="843"/>
      <c r="G85" s="843"/>
      <c r="H85" s="891"/>
      <c r="I85" s="1005" t="str">
        <f>INDEX(TEMPLATE_NUMBER_POINT_FHD,B85,MATCH(TEMPLATE_SPHERE,TEMPLATE_SPHERE_LIST_FOR_NOTE,0))</f>
        <v>10.2</v>
      </c>
      <c r="J85" s="1005" t="str">
        <f>INDEX(TEMPLATE_DATA_POINT_FHD,B85,MATCH(TEMPLATE_SPHERE,TEMPLATE_SPHERE_LIST_FOR_NOTE,0))</f>
        <v>Расчётным путём</v>
      </c>
      <c r="K85" s="1005">
        <f>INDEX(TEMPLATE_NOTE_POINT_FHD,B85,MATCH(TEMPLATE_SPHERE,TEMPLATE_SPHERE_LIST_FOR_NOTE,0))</f>
        <v>0</v>
      </c>
      <c r="L85" s="844" t="str">
        <f>IF(I85=0,"",I85)</f>
        <v>10.2</v>
      </c>
      <c r="M85" s="844" t="str">
        <f>IF(J85=0,"",J85)</f>
        <v>Расчётным путём</v>
      </c>
      <c r="N85" s="844" t="str">
        <f>IF(K85=0,"",K85)</f>
        <v/>
      </c>
      <c r="O85" s="957" t="s">
        <v>2083</v>
      </c>
      <c r="P85" s="957"/>
      <c r="Q85" s="957"/>
      <c r="R85" s="957"/>
      <c r="S85" s="957"/>
      <c r="T85" s="843" t="s">
        <v>2195</v>
      </c>
      <c r="U85" s="843"/>
      <c r="V85" s="843"/>
      <c r="W85" s="843"/>
      <c r="X85" s="843"/>
      <c r="Y85" s="1000"/>
      <c r="Z85" s="846"/>
      <c r="AA85" s="849"/>
      <c r="AB85" s="846"/>
      <c r="AC85" s="846"/>
      <c r="AD85" s="846"/>
    </row>
    <row customHeight="1" ht="27">
      <c r="A86" s="845"/>
      <c r="B86" s="899">
        <v>69</v>
      </c>
      <c r="C86" s="843"/>
      <c r="D86" s="967"/>
      <c r="E86" s="843"/>
      <c r="F86" s="843"/>
      <c r="G86" s="843"/>
      <c r="H86" s="891"/>
      <c r="I86" s="1005" t="str">
        <f>INDEX(TEMPLATE_NUMBER_POINT_FHD,B86,MATCH(TEMPLATE_SPHERE,TEMPLATE_SPHERE_LIST_FOR_NOTE,0))</f>
        <v>10.3</v>
      </c>
      <c r="J86" s="1005" t="str">
        <f>INDEX(TEMPLATE_DATA_POINT_FHD,B86,MATCH(TEMPLATE_SPHERE,TEMPLATE_SPHERE_LIST_FOR_NOTE,0))</f>
        <v>По нормативам потребления коммунальных услуг и нормативам потребления коммунальных ресурсов</v>
      </c>
      <c r="K86" s="1005">
        <f>INDEX(TEMPLATE_NOTE_POINT_FHD,B86,MATCH(TEMPLATE_SPHERE,TEMPLATE_SPHERE_LIST_FOR_NOTE,0))</f>
        <v>0</v>
      </c>
      <c r="L86" s="844" t="str">
        <f>IF(I86=0,"",I86)</f>
        <v>10.3</v>
      </c>
      <c r="M86" s="844" t="str">
        <f>IF(J86=0,"",J86)</f>
        <v>По нормативам потребления коммунальных услуг и нормативам потребления коммунальных ресурсов</v>
      </c>
      <c r="N86" s="844" t="str">
        <f>IF(K86=0,"",K86)</f>
        <v/>
      </c>
      <c r="O86" s="957" t="s">
        <v>2196</v>
      </c>
      <c r="P86" s="957"/>
      <c r="Q86" s="957"/>
      <c r="R86" s="957"/>
      <c r="S86" s="957"/>
      <c r="T86" s="843" t="s">
        <v>2197</v>
      </c>
      <c r="U86" s="843"/>
      <c r="V86" s="843"/>
      <c r="W86" s="843"/>
      <c r="X86" s="843"/>
      <c r="Y86" s="1000"/>
      <c r="Z86" s="846"/>
      <c r="AA86" s="849"/>
      <c r="AB86" s="846"/>
      <c r="AC86" s="846"/>
      <c r="AD86" s="846"/>
    </row>
    <row customHeight="1" ht="36">
      <c r="A87" s="845"/>
      <c r="B87" s="899">
        <v>70</v>
      </c>
      <c r="C87" s="843" t="s">
        <v>2198</v>
      </c>
      <c r="D87" s="967"/>
      <c r="E87" s="843"/>
      <c r="F87" s="843"/>
      <c r="G87" s="843"/>
      <c r="H87" s="891"/>
      <c r="I87" s="1005" t="str">
        <f>INDEX(TEMPLATE_NUMBER_POINT_FHD,B87,MATCH(TEMPLATE_SPHERE,TEMPLATE_SPHERE_LIST_FOR_NOTE,0))</f>
        <v>11</v>
      </c>
      <c r="J87" s="1005"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5">
        <f>INDEX(TEMPLATE_NOTE_POINT_FHD,B87,MATCH(TEMPLATE_SPHERE,TEMPLATE_SPHERE_LIST_FOR_NOTE,0))</f>
        <v>0</v>
      </c>
      <c r="L87" s="844" t="str">
        <f>IF(I87=0,"",I87)</f>
        <v>11</v>
      </c>
      <c r="M87" s="844"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4" t="str">
        <f>IF(K87=0,"",K87)</f>
        <v/>
      </c>
      <c r="O87" s="957" t="s">
        <v>154</v>
      </c>
      <c r="P87" s="957"/>
      <c r="Q87" s="957"/>
      <c r="R87" s="957"/>
      <c r="S87" s="957"/>
      <c r="T87" s="843" t="s">
        <v>2199</v>
      </c>
      <c r="U87" s="843"/>
      <c r="V87" s="843"/>
      <c r="W87" s="843"/>
      <c r="X87" s="843"/>
      <c r="Y87" s="1000"/>
      <c r="Z87" s="846"/>
      <c r="AA87" s="849"/>
      <c r="AB87" s="846"/>
      <c r="AC87" s="846"/>
      <c r="AD87" s="846"/>
    </row>
    <row customHeight="1" ht="18">
      <c r="A88" s="845"/>
      <c r="B88" s="899">
        <v>71</v>
      </c>
      <c r="C88" s="843" t="s">
        <v>2200</v>
      </c>
      <c r="D88" s="967"/>
      <c r="E88" s="843"/>
      <c r="F88" s="843"/>
      <c r="G88" s="843"/>
      <c r="H88" s="891"/>
      <c r="I88" s="1005" t="str">
        <f>INDEX(TEMPLATE_NUMBER_POINT_FHD,B88,MATCH(TEMPLATE_SPHERE,TEMPLATE_SPHERE_LIST_FOR_NOTE,0))</f>
        <v>12</v>
      </c>
      <c r="J88" s="1005" t="str">
        <f>INDEX(TEMPLATE_DATA_POINT_FHD,B88,MATCH(TEMPLATE_SPHERE,TEMPLATE_SPHERE_LIST_FOR_NOTE,0))</f>
        <v>Фактический объем потерь при передаче тепловой энергии</v>
      </c>
      <c r="K88" s="1005">
        <f>INDEX(TEMPLATE_NOTE_POINT_FHD,B88,MATCH(TEMPLATE_SPHERE,TEMPLATE_SPHERE_LIST_FOR_NOTE,0))</f>
        <v>0</v>
      </c>
      <c r="L88" s="844" t="str">
        <f>IF(I88=0,"",I88)</f>
        <v>12</v>
      </c>
      <c r="M88" s="844" t="str">
        <f>IF(J88=0,"",J88)</f>
        <v>Фактический объем потерь при передаче тепловой энергии</v>
      </c>
      <c r="N88" s="844" t="str">
        <f>IF(K88=0,"",K88)</f>
        <v/>
      </c>
      <c r="O88" s="957" t="s">
        <v>155</v>
      </c>
      <c r="P88" s="957"/>
      <c r="Q88" s="957"/>
      <c r="R88" s="957"/>
      <c r="S88" s="957"/>
      <c r="T88" s="843" t="s">
        <v>674</v>
      </c>
      <c r="U88" s="843"/>
      <c r="V88" s="843"/>
      <c r="W88" s="843"/>
      <c r="X88" s="843"/>
      <c r="Y88" s="1000"/>
      <c r="Z88" s="846"/>
      <c r="AA88" s="849"/>
      <c r="AB88" s="846"/>
      <c r="AC88" s="846"/>
      <c r="AD88" s="846"/>
    </row>
    <row customHeight="1" ht="18">
      <c r="A89" s="845"/>
      <c r="B89" s="899">
        <v>72</v>
      </c>
      <c r="C89" s="843" t="s">
        <v>2201</v>
      </c>
      <c r="D89" s="967" t="s">
        <v>2198</v>
      </c>
      <c r="E89" s="843" t="s">
        <v>2198</v>
      </c>
      <c r="F89" s="843" t="s">
        <v>2164</v>
      </c>
      <c r="G89" s="843"/>
      <c r="H89" s="891"/>
      <c r="I89" s="1005" t="str">
        <f>INDEX(TEMPLATE_NUMBER_POINT_FHD,B89,MATCH(TEMPLATE_SPHERE,TEMPLATE_SPHERE_LIST_FOR_NOTE,0))</f>
        <v>13</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13</v>
      </c>
      <c r="M89" s="844" t="str">
        <f>IF(J89=0,"",J89)</f>
        <v>Среднесписочная численность основного производственного персонала</v>
      </c>
      <c r="N89" s="844" t="str">
        <f>IF(K89=0,"",K89)</f>
        <v/>
      </c>
      <c r="O89" s="957" t="s">
        <v>156</v>
      </c>
      <c r="P89" s="957" t="s">
        <v>155</v>
      </c>
      <c r="Q89" s="957" t="s">
        <v>155</v>
      </c>
      <c r="R89" s="957" t="s">
        <v>153</v>
      </c>
      <c r="S89" s="957"/>
      <c r="T89" s="843" t="s">
        <v>682</v>
      </c>
      <c r="U89" s="843" t="s">
        <v>682</v>
      </c>
      <c r="V89" s="843" t="s">
        <v>682</v>
      </c>
      <c r="W89" s="843" t="s">
        <v>682</v>
      </c>
      <c r="X89" s="843"/>
      <c r="Y89" s="1000"/>
      <c r="Z89" s="846"/>
      <c r="AA89" s="849"/>
      <c r="AB89" s="846"/>
      <c r="AC89" s="846"/>
      <c r="AD89" s="846"/>
    </row>
    <row customHeight="1" ht="27">
      <c r="A90" s="845"/>
      <c r="B90" s="899">
        <v>73</v>
      </c>
      <c r="C90" s="843" t="s">
        <v>2202</v>
      </c>
      <c r="D90" s="967"/>
      <c r="E90" s="843"/>
      <c r="F90" s="843"/>
      <c r="G90" s="843"/>
      <c r="H90" s="891"/>
      <c r="I90" s="1005" t="str">
        <f>INDEX(TEMPLATE_NUMBER_POINT_FHD,B90,MATCH(TEMPLATE_SPHERE,TEMPLATE_SPHERE_LIST_FOR_NOTE,0))</f>
        <v>14</v>
      </c>
      <c r="J90" s="1005" t="str">
        <f>INDEX(TEMPLATE_DATA_POINT_FHD,B90,MATCH(TEMPLATE_SPHERE,TEMPLATE_SPHERE_LIST_FOR_NOTE,0))</f>
        <v>Среднесписочная численность административно-управленческого персонала</v>
      </c>
      <c r="K90" s="1005">
        <f>INDEX(TEMPLATE_NOTE_POINT_FHD,B90,MATCH(TEMPLATE_SPHERE,TEMPLATE_SPHERE_LIST_FOR_NOTE,0))</f>
        <v>0</v>
      </c>
      <c r="L90" s="844" t="str">
        <f>IF(I90=0,"",I90)</f>
        <v>14</v>
      </c>
      <c r="M90" s="844" t="str">
        <f>IF(J90=0,"",J90)</f>
        <v>Среднесписочная численность административно-управленческого персонала</v>
      </c>
      <c r="N90" s="844" t="str">
        <f>IF(K90=0,"",K90)</f>
        <v/>
      </c>
      <c r="O90" s="957" t="s">
        <v>157</v>
      </c>
      <c r="P90" s="957"/>
      <c r="Q90" s="957"/>
      <c r="R90" s="957"/>
      <c r="S90" s="957"/>
      <c r="T90" s="843" t="s">
        <v>684</v>
      </c>
      <c r="U90" s="843"/>
      <c r="V90" s="843"/>
      <c r="W90" s="843"/>
      <c r="X90" s="843"/>
      <c r="Y90" s="1000"/>
      <c r="Z90" s="846"/>
      <c r="AA90" s="849"/>
      <c r="AB90" s="846"/>
      <c r="AC90" s="846"/>
      <c r="AD90" s="846"/>
    </row>
    <row customHeight="1" ht="18">
      <c r="A91" s="845"/>
      <c r="B91" s="899">
        <v>74</v>
      </c>
      <c r="C91" s="843"/>
      <c r="D91" s="967" t="s">
        <v>2200</v>
      </c>
      <c r="E91" s="843" t="s">
        <v>2200</v>
      </c>
      <c r="F91" s="843"/>
      <c r="G91" s="843"/>
      <c r="H91" s="891"/>
      <c r="I91" s="1005">
        <f>INDEX(TEMPLATE_NUMBER_POINT_FHD,B91,MATCH(TEMPLATE_SPHERE,TEMPLATE_SPHERE_LIST_FOR_NOTE,0))</f>
        <v>0</v>
      </c>
      <c r="J91" s="1005">
        <f>INDEX(TEMPLATE_DATA_POINT_FHD,B91,MATCH(TEMPLATE_SPHERE,TEMPLATE_SPHERE_LIST_FOR_NOTE,0))</f>
        <v>0</v>
      </c>
      <c r="K91" s="1005">
        <f>INDEX(TEMPLATE_NOTE_POINT_FHD,B91,MATCH(TEMPLATE_SPHERE,TEMPLATE_SPHERE_LIST_FOR_NOTE,0))</f>
        <v>0</v>
      </c>
      <c r="L91" s="844" t="str">
        <f>IF(I91=0,"",I91)</f>
        <v/>
      </c>
      <c r="M91" s="844" t="str">
        <f>IF(J91=0,"",J91)</f>
        <v/>
      </c>
      <c r="N91" s="844" t="str">
        <f>IF(K91=0,"",K91)</f>
        <v/>
      </c>
      <c r="O91" s="957"/>
      <c r="P91" s="957" t="s">
        <v>156</v>
      </c>
      <c r="Q91" s="957" t="s">
        <v>156</v>
      </c>
      <c r="R91" s="957"/>
      <c r="S91" s="957"/>
      <c r="T91" s="843"/>
      <c r="U91" s="843" t="s">
        <v>2203</v>
      </c>
      <c r="V91" s="843" t="s">
        <v>2203</v>
      </c>
      <c r="W91" s="843"/>
      <c r="X91" s="843"/>
      <c r="Y91" s="1000"/>
      <c r="Z91" s="846"/>
      <c r="AA91" s="849"/>
      <c r="AB91" s="846"/>
      <c r="AC91" s="846"/>
      <c r="AD91" s="846"/>
    </row>
    <row customHeight="1" ht="27">
      <c r="A92" s="845"/>
      <c r="B92" s="899">
        <v>75</v>
      </c>
      <c r="C92" s="843"/>
      <c r="D92" s="967" t="s">
        <v>2201</v>
      </c>
      <c r="E92" s="843"/>
      <c r="F92" s="843"/>
      <c r="G92" s="843"/>
      <c r="H92" s="891"/>
      <c r="I92" s="1005">
        <f>INDEX(TEMPLATE_NUMBER_POINT_FHD,B92,MATCH(TEMPLATE_SPHERE,TEMPLATE_SPHERE_LIST_FOR_NOTE,0))</f>
        <v>0</v>
      </c>
      <c r="J92" s="1005">
        <f>INDEX(TEMPLATE_DATA_POINT_FHD,B92,MATCH(TEMPLATE_SPHERE,TEMPLATE_SPHERE_LIST_FOR_NOTE,0))</f>
        <v>0</v>
      </c>
      <c r="K92" s="1005">
        <f>INDEX(TEMPLATE_NOTE_POINT_FHD,B92,MATCH(TEMPLATE_SPHERE,TEMPLATE_SPHERE_LIST_FOR_NOTE,0))</f>
        <v>0</v>
      </c>
      <c r="L92" s="844" t="str">
        <f>IF(I92=0,"",I92)</f>
        <v/>
      </c>
      <c r="M92" s="844" t="str">
        <f>IF(J92=0,"",J92)</f>
        <v/>
      </c>
      <c r="N92" s="844" t="str">
        <f>IF(K92=0,"",K92)</f>
        <v/>
      </c>
      <c r="O92" s="957"/>
      <c r="P92" s="957" t="s">
        <v>157</v>
      </c>
      <c r="Q92" s="957"/>
      <c r="R92" s="957"/>
      <c r="S92" s="957"/>
      <c r="T92" s="843"/>
      <c r="U92" s="843" t="s">
        <v>2204</v>
      </c>
      <c r="V92" s="843"/>
      <c r="W92" s="843"/>
      <c r="X92" s="843"/>
      <c r="Y92" s="1000"/>
      <c r="Z92" s="846"/>
      <c r="AA92" s="849" t="s">
        <v>2205</v>
      </c>
      <c r="AB92" s="846"/>
      <c r="AC92" s="846"/>
      <c r="AD92" s="846"/>
    </row>
    <row customHeight="1" ht="27">
      <c r="A93" s="845"/>
      <c r="B93" s="899">
        <v>76</v>
      </c>
      <c r="C93" s="843"/>
      <c r="D93" s="967"/>
      <c r="E93" s="843"/>
      <c r="F93" s="843"/>
      <c r="G93" s="843"/>
      <c r="H93" s="891"/>
      <c r="I93" s="1005">
        <f>INDEX(TEMPLATE_NUMBER_POINT_FHD,B93,MATCH(TEMPLATE_SPHERE,TEMPLATE_SPHERE_LIST_FOR_NOTE,0))</f>
        <v>0</v>
      </c>
      <c r="J93" s="1005">
        <f>INDEX(TEMPLATE_DATA_POINT_FHD,B93,MATCH(TEMPLATE_SPHERE,TEMPLATE_SPHERE_LIST_FOR_NOTE,0))</f>
        <v>0</v>
      </c>
      <c r="K93" s="1005">
        <f>INDEX(TEMPLATE_NOTE_POINT_FHD,B93,MATCH(TEMPLATE_SPHERE,TEMPLATE_SPHERE_LIST_FOR_NOTE,0))</f>
        <v>0</v>
      </c>
      <c r="L93" s="844" t="str">
        <f>IF(I93=0,"",I93)</f>
        <v/>
      </c>
      <c r="M93" s="844" t="str">
        <f>IF(J93=0,"",J93)</f>
        <v/>
      </c>
      <c r="N93" s="844" t="str">
        <f>IF(K93=0,"",K93)</f>
        <v/>
      </c>
      <c r="O93" s="957"/>
      <c r="P93" s="957" t="s">
        <v>2111</v>
      </c>
      <c r="Q93" s="957"/>
      <c r="R93" s="957"/>
      <c r="S93" s="957"/>
      <c r="T93" s="843"/>
      <c r="U93" s="843" t="s">
        <v>2206</v>
      </c>
      <c r="V93" s="843"/>
      <c r="W93" s="843"/>
      <c r="X93" s="843"/>
      <c r="Y93" s="1000"/>
      <c r="Z93" s="846"/>
      <c r="AA93" s="849" t="s">
        <v>2207</v>
      </c>
      <c r="AB93" s="846"/>
      <c r="AC93" s="846"/>
      <c r="AD93" s="846"/>
    </row>
    <row customHeight="1" ht="45">
      <c r="A94" s="845"/>
      <c r="B94" s="899">
        <v>77</v>
      </c>
      <c r="C94" s="843"/>
      <c r="D94" s="967" t="s">
        <v>2202</v>
      </c>
      <c r="E94" s="843"/>
      <c r="F94" s="843"/>
      <c r="G94" s="843"/>
      <c r="H94" s="891"/>
      <c r="I94" s="1005">
        <f>INDEX(TEMPLATE_NUMBER_POINT_FHD,B94,MATCH(TEMPLATE_SPHERE,TEMPLATE_SPHERE_LIST_FOR_NOTE,0))</f>
        <v>0</v>
      </c>
      <c r="J94" s="1005">
        <f>INDEX(TEMPLATE_DATA_POINT_FHD,B94,MATCH(TEMPLATE_SPHERE,TEMPLATE_SPHERE_LIST_FOR_NOTE,0))</f>
        <v>0</v>
      </c>
      <c r="K94" s="1005">
        <f>INDEX(TEMPLATE_NOTE_POINT_FHD,B94,MATCH(TEMPLATE_SPHERE,TEMPLATE_SPHERE_LIST_FOR_NOTE,0))</f>
        <v>0</v>
      </c>
      <c r="L94" s="844" t="str">
        <f>IF(I94=0,"",I94)</f>
        <v/>
      </c>
      <c r="M94" s="844" t="str">
        <f>IF(J94=0,"",J94)</f>
        <v/>
      </c>
      <c r="N94" s="844" t="str">
        <f>IF(K94=0,"",K94)</f>
        <v/>
      </c>
      <c r="O94" s="957"/>
      <c r="P94" s="957" t="s">
        <v>1466</v>
      </c>
      <c r="Q94" s="957"/>
      <c r="R94" s="957"/>
      <c r="S94" s="957"/>
      <c r="T94" s="843"/>
      <c r="U94" s="843" t="s">
        <v>2208</v>
      </c>
      <c r="V94" s="843"/>
      <c r="W94" s="843"/>
      <c r="X94" s="843"/>
      <c r="Y94" s="1000"/>
      <c r="Z94" s="846"/>
      <c r="AA94" s="849" t="s">
        <v>2209</v>
      </c>
      <c r="AB94" s="846"/>
      <c r="AC94" s="846"/>
      <c r="AD94" s="846"/>
    </row>
    <row customHeight="1" ht="99">
      <c r="A95" s="845"/>
      <c r="B95" s="899">
        <v>78</v>
      </c>
      <c r="C95" s="843" t="s">
        <v>2210</v>
      </c>
      <c r="D95" s="967"/>
      <c r="E95" s="843"/>
      <c r="F95" s="843"/>
      <c r="G95" s="843"/>
      <c r="H95" s="891"/>
      <c r="I95" s="1005" t="str">
        <f>INDEX(TEMPLATE_NUMBER_POINT_FHD,B95,MATCH(TEMPLATE_SPHERE,TEMPLATE_SPHERE_LIST_FOR_NOTE,0))</f>
        <v>15</v>
      </c>
      <c r="J95" s="1005"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5">
        <f>INDEX(TEMPLATE_NOTE_POINT_FHD,B95,MATCH(TEMPLATE_SPHERE,TEMPLATE_SPHERE_LIST_FOR_NOTE,0))</f>
        <v>0</v>
      </c>
      <c r="L95" s="844" t="str">
        <f>IF(I95=0,"",I95)</f>
        <v>15</v>
      </c>
      <c r="M95" s="844"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4" t="str">
        <f>IF(K95=0,"",K95)</f>
        <v/>
      </c>
      <c r="O95" s="957" t="s">
        <v>1466</v>
      </c>
      <c r="P95" s="957"/>
      <c r="Q95" s="957"/>
      <c r="R95" s="957"/>
      <c r="S95" s="957"/>
      <c r="T95" s="843" t="s">
        <v>2211</v>
      </c>
      <c r="U95" s="843"/>
      <c r="V95" s="843"/>
      <c r="W95" s="843"/>
      <c r="X95" s="843"/>
      <c r="Y95" s="1000"/>
      <c r="Z95" s="846"/>
      <c r="AA95" s="849"/>
      <c r="AB95" s="846"/>
      <c r="AC95" s="846"/>
      <c r="AD95" s="846"/>
    </row>
    <row customHeight="1" ht="99">
      <c r="A96" s="845"/>
      <c r="B96" s="899">
        <v>79</v>
      </c>
      <c r="C96" s="843" t="s">
        <v>1155</v>
      </c>
      <c r="D96" s="967"/>
      <c r="E96" s="843"/>
      <c r="F96" s="843"/>
      <c r="G96" s="843"/>
      <c r="H96" s="891"/>
      <c r="I96" s="1005" t="str">
        <f>INDEX(TEMPLATE_NUMBER_POINT_FHD,B96,MATCH(TEMPLATE_SPHERE,TEMPLATE_SPHERE_LIST_FOR_NOTE,0))</f>
        <v>16</v>
      </c>
      <c r="J96" s="1005"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5"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4" t="str">
        <f>IF(I96=0,"",I96)</f>
        <v>16</v>
      </c>
      <c r="M96" s="844"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4"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7" t="s">
        <v>1472</v>
      </c>
      <c r="P96" s="957"/>
      <c r="Q96" s="957"/>
      <c r="R96" s="957"/>
      <c r="S96" s="957"/>
      <c r="T96" s="843" t="s">
        <v>2212</v>
      </c>
      <c r="U96" s="843"/>
      <c r="V96" s="843"/>
      <c r="W96" s="843"/>
      <c r="X96" s="843"/>
      <c r="Y96" s="1000"/>
      <c r="Z96" s="846" t="s">
        <v>2213</v>
      </c>
      <c r="AA96" s="849"/>
      <c r="AB96" s="846"/>
      <c r="AC96" s="846"/>
      <c r="AD96" s="846"/>
    </row>
    <row customHeight="1" ht="63">
      <c r="A97" s="845"/>
      <c r="B97" s="899">
        <v>80</v>
      </c>
      <c r="C97" s="843" t="s">
        <v>2214</v>
      </c>
      <c r="D97" s="967"/>
      <c r="E97" s="843"/>
      <c r="F97" s="843"/>
      <c r="G97" s="843"/>
      <c r="H97" s="891"/>
      <c r="I97" s="1005" t="str">
        <f>INDEX(TEMPLATE_NUMBER_POINT_FHD,B97,MATCH(TEMPLATE_SPHERE,TEMPLATE_SPHERE_LIST_FOR_NOTE,0))</f>
        <v>17</v>
      </c>
      <c r="J97" s="1005"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5"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4" t="str">
        <f>IF(I97=0,"",I97)</f>
        <v>17</v>
      </c>
      <c r="M97" s="844"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4" t="str">
        <f>IF(K97=0,"",K97)</f>
        <v>Регулируемыми организациями указывается информация с по договорам, заключенным в рамках осуществления регулируемой деятельности.</v>
      </c>
      <c r="O97" s="957" t="s">
        <v>1484</v>
      </c>
      <c r="P97" s="957"/>
      <c r="Q97" s="957"/>
      <c r="R97" s="957"/>
      <c r="S97" s="957"/>
      <c r="T97" s="843" t="s">
        <v>2215</v>
      </c>
      <c r="U97" s="843"/>
      <c r="V97" s="843"/>
      <c r="W97" s="843"/>
      <c r="X97" s="843"/>
      <c r="Y97" s="1000"/>
      <c r="Z97" s="846" t="s">
        <v>2216</v>
      </c>
      <c r="AA97" s="849"/>
      <c r="AB97" s="846"/>
      <c r="AC97" s="846"/>
      <c r="AD97" s="846"/>
    </row>
    <row customHeight="1" ht="63">
      <c r="A98" s="845"/>
      <c r="B98" s="899">
        <v>81</v>
      </c>
      <c r="C98" s="843" t="s">
        <v>2217</v>
      </c>
      <c r="D98" s="967"/>
      <c r="E98" s="843"/>
      <c r="F98" s="843"/>
      <c r="G98" s="843"/>
      <c r="H98" s="891"/>
      <c r="I98" s="1005" t="str">
        <f>INDEX(TEMPLATE_NUMBER_POINT_FHD,B98,MATCH(TEMPLATE_SPHERE,TEMPLATE_SPHERE_LIST_FOR_NOTE,0))</f>
        <v>18</v>
      </c>
      <c r="J98" s="1005"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5"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4" t="str">
        <f>IF(I98=0,"",I98)</f>
        <v>18</v>
      </c>
      <c r="M98" s="844"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4" t="str">
        <f>IF(K98=0,"",K98)</f>
        <v>Регулируемыми организациями указывается информация с по договорам, заключенным в рамках осуществления регулируемой деятельности.</v>
      </c>
      <c r="O98" s="957" t="s">
        <v>1498</v>
      </c>
      <c r="P98" s="957"/>
      <c r="Q98" s="957"/>
      <c r="R98" s="957"/>
      <c r="S98" s="957"/>
      <c r="T98" s="843" t="s">
        <v>2218</v>
      </c>
      <c r="U98" s="843"/>
      <c r="V98" s="843"/>
      <c r="W98" s="843"/>
      <c r="X98" s="843"/>
      <c r="Y98" s="1000"/>
      <c r="Z98" s="846" t="s">
        <v>2216</v>
      </c>
      <c r="AA98" s="849"/>
      <c r="AB98" s="846"/>
      <c r="AC98" s="846"/>
      <c r="AD98" s="846"/>
    </row>
    <row customHeight="1" ht="90">
      <c r="A99" s="845"/>
      <c r="B99" s="899">
        <v>82</v>
      </c>
      <c r="C99" s="843" t="s">
        <v>2219</v>
      </c>
      <c r="D99" s="967"/>
      <c r="E99" s="843"/>
      <c r="F99" s="843"/>
      <c r="G99" s="843"/>
      <c r="H99" s="891"/>
      <c r="I99" s="1005" t="str">
        <f>INDEX(TEMPLATE_NUMBER_POINT_FHD,B99,MATCH(TEMPLATE_SPHERE,TEMPLATE_SPHERE_LIST_FOR_NOTE,0))</f>
        <v>19</v>
      </c>
      <c r="J99" s="1005"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5" t="str">
        <f>INDEX(TEMPLATE_NOTE_POINT_FHD,B99,MATCH(TEMPLATE_SPHERE,TEMPLATE_SPHERE_LIST_FOR_NOTE,0))</f>
        <v>Указывается ссылка на документ, предварительно загруженный в хранилище файлов ФГИС ЕИАС.</v>
      </c>
      <c r="L99" s="844" t="str">
        <f>IF(I99=0,"",I99)</f>
        <v>19</v>
      </c>
      <c r="M99" s="844"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4" t="str">
        <f>IF(K99=0,"",K99)</f>
        <v>Указывается ссылка на документ, предварительно загруженный в хранилище файлов ФГИС ЕИАС.</v>
      </c>
      <c r="O99" s="957" t="s">
        <v>1510</v>
      </c>
      <c r="P99" s="957"/>
      <c r="Q99" s="957"/>
      <c r="R99" s="957"/>
      <c r="S99" s="957"/>
      <c r="T99" s="843" t="s">
        <v>2220</v>
      </c>
      <c r="U99" s="843"/>
      <c r="V99" s="843"/>
      <c r="W99" s="843"/>
      <c r="X99" s="843"/>
      <c r="Y99" s="1000"/>
      <c r="Z99" s="846" t="s">
        <v>639</v>
      </c>
      <c r="AA99" s="849"/>
      <c r="AB99" s="846"/>
      <c r="AC99" s="846"/>
      <c r="AD99" s="846"/>
    </row>
    <row customHeight="1" ht="27">
      <c r="A100" s="845"/>
      <c r="B100" s="899">
        <v>83</v>
      </c>
      <c r="C100" s="843"/>
      <c r="D100" s="967"/>
      <c r="E100" s="843"/>
      <c r="F100" s="843"/>
      <c r="G100" s="843"/>
      <c r="H100" s="891"/>
      <c r="I100" s="1005" t="str">
        <f>INDEX(TEMPLATE_NUMBER_POINT_FHD,B100,MATCH(TEMPLATE_SPHERE,TEMPLATE_SPHERE_LIST_FOR_NOTE,0))</f>
        <v>19.1</v>
      </c>
      <c r="J100" s="1005" t="str">
        <f>INDEX(TEMPLATE_DATA_POINT_FHD,B100,MATCH(TEMPLATE_SPHERE,TEMPLATE_SPHERE_LIST_FOR_NOTE,0))</f>
        <v>Информация о показателях физического износа объектов теплоснабжения</v>
      </c>
      <c r="K100" s="1005" t="str">
        <f>INDEX(TEMPLATE_NOTE_POINT_FHD,B100,MATCH(TEMPLATE_SPHERE,TEMPLATE_SPHERE_LIST_FOR_NOTE,0))</f>
        <v>Указывается ссылка на документ, предварительно загруженный в хранилище файлов ФГИС ЕИАС.</v>
      </c>
      <c r="L100" s="844" t="str">
        <f>IF(I100=0,"",I100)</f>
        <v>19.1</v>
      </c>
      <c r="M100" s="844" t="str">
        <f>IF(J100=0,"",J100)</f>
        <v>Информация о показателях физического износа объектов теплоснабжения</v>
      </c>
      <c r="N100" s="844" t="str">
        <f>IF(K100=0,"",K100)</f>
        <v>Указывается ссылка на документ, предварительно загруженный в хранилище файлов ФГИС ЕИАС.</v>
      </c>
      <c r="O100" s="957" t="s">
        <v>2221</v>
      </c>
      <c r="P100" s="957"/>
      <c r="Q100" s="957"/>
      <c r="R100" s="957"/>
      <c r="S100" s="957"/>
      <c r="T100" s="843" t="s">
        <v>2222</v>
      </c>
      <c r="U100" s="843"/>
      <c r="V100" s="843"/>
      <c r="W100" s="843"/>
      <c r="X100" s="843"/>
      <c r="Y100" s="1000"/>
      <c r="Z100" s="846" t="s">
        <v>639</v>
      </c>
      <c r="AA100" s="849"/>
      <c r="AB100" s="846"/>
      <c r="AC100" s="846"/>
      <c r="AD100" s="846"/>
    </row>
    <row customHeight="1" ht="27">
      <c r="A101" s="845"/>
      <c r="B101" s="899">
        <v>84</v>
      </c>
      <c r="C101" s="843"/>
      <c r="D101" s="967"/>
      <c r="E101" s="843"/>
      <c r="F101" s="843"/>
      <c r="G101" s="843"/>
      <c r="H101" s="891"/>
      <c r="I101" s="1005" t="str">
        <f>INDEX(TEMPLATE_NUMBER_POINT_FHD,B101,MATCH(TEMPLATE_SPHERE,TEMPLATE_SPHERE_LIST_FOR_NOTE,0))</f>
        <v>19.2</v>
      </c>
      <c r="J101" s="1005" t="str">
        <f>INDEX(TEMPLATE_DATA_POINT_FHD,B101,MATCH(TEMPLATE_SPHERE,TEMPLATE_SPHERE_LIST_FOR_NOTE,0))</f>
        <v>Информация о показателях энергетической эффективности объектов теплоснабжения</v>
      </c>
      <c r="K101" s="1005" t="str">
        <f>INDEX(TEMPLATE_NOTE_POINT_FHD,B101,MATCH(TEMPLATE_SPHERE,TEMPLATE_SPHERE_LIST_FOR_NOTE,0))</f>
        <v>Указывается ссылка на документ, предварительно загруженный в хранилище файлов ФГИС ЕИАС.</v>
      </c>
      <c r="L101" s="844" t="str">
        <f>IF(I101=0,"",I101)</f>
        <v>19.2</v>
      </c>
      <c r="M101" s="844" t="str">
        <f>IF(J101=0,"",J101)</f>
        <v>Информация о показателях энергетической эффективности объектов теплоснабжения</v>
      </c>
      <c r="N101" s="844" t="str">
        <f>IF(K101=0,"",K101)</f>
        <v>Указывается ссылка на документ, предварительно загруженный в хранилище файлов ФГИС ЕИАС.</v>
      </c>
      <c r="O101" s="957" t="s">
        <v>2223</v>
      </c>
      <c r="P101" s="957"/>
      <c r="Q101" s="957"/>
      <c r="R101" s="957"/>
      <c r="S101" s="957"/>
      <c r="T101" s="843" t="s">
        <v>2224</v>
      </c>
      <c r="U101" s="843"/>
      <c r="V101" s="843"/>
      <c r="W101" s="843"/>
      <c r="X101" s="843"/>
      <c r="Y101" s="1000"/>
      <c r="Z101" s="846" t="s">
        <v>639</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1664</v>
      </c>
      <c r="B148" s="845"/>
      <c r="C148" s="843" t="s">
        <v>2225</v>
      </c>
      <c r="D148" s="843" t="s">
        <v>1566</v>
      </c>
      <c r="E148" s="843" t="s">
        <v>1666</v>
      </c>
      <c r="F148" s="843" t="s">
        <v>2226</v>
      </c>
      <c r="G148" s="843"/>
      <c r="H148" s="843"/>
      <c r="I148" s="963"/>
      <c r="J148" s="963"/>
      <c r="K148" s="963"/>
      <c r="L148" s="963"/>
      <c r="M148" s="89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8"/>
      <c r="O148" s="843"/>
      <c r="P148" s="844"/>
      <c r="Q148" s="844"/>
      <c r="R148" s="844"/>
      <c r="S148" s="843"/>
      <c r="T148" s="843" t="s">
        <v>2227</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4"/>
      <c r="W148" s="844"/>
      <c r="X148" s="843" t="s">
        <v>2228</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1668</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1670</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1675</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34EB12-1B68-4078-EE28-40A51831C1D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2229</v>
      </c>
      <c r="M5" s="2603"/>
      <c r="N5" s="2603"/>
      <c r="O5" s="2603"/>
      <c r="P5" s="2603"/>
      <c r="Q5" s="2603"/>
      <c r="R5" s="2603"/>
      <c r="S5" s="2603"/>
      <c r="T5" s="2603"/>
      <c r="U5" s="2603"/>
      <c r="V5" s="1243"/>
      <c r="AD5" s="1155">
        <v>64</v>
      </c>
    </row>
    <row customHeight="1" ht="14.699999999999998">
      <c r="J6" s="376"/>
      <c r="K6" s="376"/>
      <c r="L6" s="2604" t="str">
        <f>IF(org=0,"Не определено",org)</f>
        <v>ООО "Энерго-Сервис"</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Комитет по тарифам и ценам Курской области</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428</v>
      </c>
      <c r="N9" s="304"/>
      <c r="O9" s="2251" t="str">
        <f>IF(TITLE_DATE_CHANGE_PERIOD="",IF(TITLE_DATE_PR="","",TITLE_DATE_PR),TITLE_DATE_CHANGE_PERIOD)</f>
        <v>46023</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429</v>
      </c>
      <c r="N10" s="304"/>
      <c r="O10" s="2251" t="str">
        <f>IF(TITLE_NUMBER_PR_CHANGE="",IF(TITLE_NUMBER_PR="","",TITLE_NUMBER_PR),TITLE_NUMBER_PR_CHANGE)</f>
        <v>66</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44</v>
      </c>
      <c r="N11" s="304"/>
      <c r="O11" s="2251" t="str">
        <f>IF(TITLE_IST_PUB_CHANGE="",IF(TITLE_IST_PUB="","",TITLE_IST_PUB),TITLE_IST_PUB_CHANGE)</f>
        <v>https://kurskpravo.ru/accepted-npa-prewev/2528</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432</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308</v>
      </c>
      <c r="M14" s="2127"/>
      <c r="N14" s="2127"/>
      <c r="O14" s="2127"/>
      <c r="P14" s="2127"/>
      <c r="Q14" s="2127"/>
      <c r="R14" s="2127"/>
      <c r="S14" s="2127"/>
      <c r="T14" s="2127"/>
      <c r="U14" s="2127"/>
      <c r="V14" s="2127"/>
      <c r="W14" s="2127"/>
      <c r="X14" s="2127" t="s">
        <v>309</v>
      </c>
      <c r="AD14" s="1155">
        <v>14</v>
      </c>
    </row>
    <row customHeight="1" ht="14.699999999999998">
      <c r="J15" s="376"/>
      <c r="K15" s="376"/>
      <c r="L15" s="2273" t="s">
        <v>92</v>
      </c>
      <c r="M15" s="2209" t="s">
        <v>433</v>
      </c>
      <c r="N15" s="301"/>
      <c r="O15" s="2274" t="s">
        <v>2230</v>
      </c>
      <c r="P15" s="2275"/>
      <c r="Q15" s="2275"/>
      <c r="R15" s="2275"/>
      <c r="S15" s="2275"/>
      <c r="T15" s="2275"/>
      <c r="U15" s="2276"/>
      <c r="V15" s="2277" t="s">
        <v>435</v>
      </c>
      <c r="W15" s="2280" t="s">
        <v>1152</v>
      </c>
      <c r="X15" s="2127"/>
      <c r="AD15" s="1155">
        <v>14</v>
      </c>
    </row>
    <row customHeight="1" ht="35.699999999999996">
      <c r="J16" s="376"/>
      <c r="K16" s="376"/>
      <c r="L16" s="2273"/>
      <c r="M16" s="2209"/>
      <c r="N16" s="1031"/>
      <c r="O16" s="2260" t="s">
        <v>438</v>
      </c>
      <c r="P16" s="2260" t="s">
        <v>439</v>
      </c>
      <c r="Q16" s="2262" t="s">
        <v>440</v>
      </c>
      <c r="R16" s="2263"/>
      <c r="S16" s="2262" t="s">
        <v>454</v>
      </c>
      <c r="T16" s="2269"/>
      <c r="U16" s="2263"/>
      <c r="V16" s="2278"/>
      <c r="W16" s="2281"/>
      <c r="X16" s="2127"/>
      <c r="AD16" s="1155">
        <v>34</v>
      </c>
    </row>
    <row customHeight="1" ht="35.699999999999996">
      <c r="A17" s="1370" t="s">
        <v>138</v>
      </c>
      <c r="B17" s="1370" t="s">
        <v>139</v>
      </c>
      <c r="C17" s="1370" t="s">
        <v>140</v>
      </c>
      <c r="D17" s="1370" t="s">
        <v>141</v>
      </c>
      <c r="E17" s="1370"/>
      <c r="J17" s="376"/>
      <c r="K17" s="376"/>
      <c r="L17" s="2273"/>
      <c r="M17" s="2209"/>
      <c r="N17" s="302"/>
      <c r="O17" s="2261"/>
      <c r="P17" s="2261"/>
      <c r="Q17" s="1222" t="s">
        <v>449</v>
      </c>
      <c r="R17" s="1222" t="s">
        <v>450</v>
      </c>
      <c r="S17" s="1292" t="s">
        <v>451</v>
      </c>
      <c r="T17" s="2270" t="s">
        <v>452</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113</v>
      </c>
      <c r="M18" s="1255" t="s">
        <v>114</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178</v>
      </c>
      <c r="B19" s="1363" t="s">
        <v>179</v>
      </c>
      <c r="C19" s="1363" t="s">
        <v>180</v>
      </c>
      <c r="D19" s="1363" t="s">
        <v>181</v>
      </c>
      <c r="E19" s="1363"/>
      <c r="F19" s="1365"/>
      <c r="G19" s="1365"/>
      <c r="H19" s="1365"/>
      <c r="I19" s="361"/>
      <c r="J19" s="360"/>
      <c r="K19" s="355"/>
      <c r="L19" s="1293">
        <f>INDEX(PT_DIFFERENTIATION_NUM_NTAR,MATCH(A19,PT_DIFFERENTIATION_NTAR_ID,0))</f>
        <v>0</v>
      </c>
      <c r="M19" s="298" t="s">
        <v>127</v>
      </c>
      <c r="N19" s="300"/>
      <c r="O19" s="2606" t="str">
        <f>INDEX(PT_DIFFERENTIATION_NTAR,MATCH(A19,PT_DIFFERENTIATION_NTAR_ID,0))</f>
        <v/>
      </c>
      <c r="P19" s="2606"/>
      <c r="Q19" s="2606"/>
      <c r="R19" s="2606"/>
      <c r="S19" s="2606"/>
      <c r="T19" s="2606"/>
      <c r="U19" s="2606"/>
      <c r="V19" s="2606"/>
      <c r="W19" s="2606"/>
      <c r="X19" s="1258" t="s">
        <v>404</v>
      </c>
      <c r="Z19" s="500"/>
      <c r="AA19" s="500" t="str">
        <f>IF(M19="","",M19)</f>
        <v>Наименование тарифа</v>
      </c>
      <c r="AB19" s="500"/>
      <c r="AC19" s="500"/>
      <c r="AD19" s="1155">
        <v>20</v>
      </c>
    </row>
    <row customHeight="1" ht="21">
      <c r="A20" s="1363" t="s">
        <v>178</v>
      </c>
      <c r="B20" s="1363" t="s">
        <v>179</v>
      </c>
      <c r="C20" s="1363" t="s">
        <v>180</v>
      </c>
      <c r="D20" s="1363" t="s">
        <v>181</v>
      </c>
      <c r="E20" s="1363"/>
      <c r="F20" s="1365"/>
      <c r="G20" s="1365"/>
      <c r="H20" s="1365"/>
      <c r="I20" s="1290"/>
      <c r="J20" s="352"/>
      <c r="K20" s="353"/>
      <c r="L20" s="1293" t="str">
        <f>INDEX(PT_DIFFERENTIATION_NUM_TER,MATCH(B19,PT_DIFFERENTIATION_TER_ID,0))</f>
        <v>.</v>
      </c>
      <c r="M20" s="308" t="s">
        <v>405</v>
      </c>
      <c r="N20" s="300"/>
      <c r="O20" s="2606" t="str">
        <f>INDEX(PT_DIFFERENTIATION_TER,MATCH(B19,PT_DIFFERENTIATION_TER_ID,0))</f>
        <v/>
      </c>
      <c r="P20" s="2606"/>
      <c r="Q20" s="2606"/>
      <c r="R20" s="2606"/>
      <c r="S20" s="2606"/>
      <c r="T20" s="2606"/>
      <c r="U20" s="2606"/>
      <c r="V20" s="2606"/>
      <c r="W20" s="2606"/>
      <c r="X20" s="1258" t="s">
        <v>406</v>
      </c>
      <c r="Z20" s="500"/>
      <c r="AA20" s="500" t="str">
        <f>IF(M20="","",M20)</f>
        <v>Территория действия тарифа</v>
      </c>
      <c r="AB20" s="500"/>
      <c r="AC20" s="500"/>
      <c r="AD20" s="1155">
        <v>20</v>
      </c>
    </row>
    <row customHeight="1" ht="24">
      <c r="A21" s="1363" t="s">
        <v>178</v>
      </c>
      <c r="B21" s="1363" t="s">
        <v>179</v>
      </c>
      <c r="C21" s="1363" t="s">
        <v>180</v>
      </c>
      <c r="D21" s="1363" t="s">
        <v>181</v>
      </c>
      <c r="E21" s="1363"/>
      <c r="F21" s="1365"/>
      <c r="G21" s="1365"/>
      <c r="H21" s="1365"/>
      <c r="I21" s="354"/>
      <c r="J21" s="352"/>
      <c r="K21" s="353"/>
      <c r="L21" s="1293" t="str">
        <f>INDEX(PT_DIFFERENTIATION_NUM_CS,MATCH(C19,PT_DIFFERENTIATION_CS_ID,0))</f>
        <v>..</v>
      </c>
      <c r="M21" s="309" t="s">
        <v>407</v>
      </c>
      <c r="N21" s="300"/>
      <c r="O21" s="2606" t="str">
        <f>INDEX(PT_DIFFERENTIATION_CS,MATCH(C19,PT_DIFFERENTIATION_CS_ID,0))</f>
        <v/>
      </c>
      <c r="P21" s="2606"/>
      <c r="Q21" s="2606"/>
      <c r="R21" s="2606"/>
      <c r="S21" s="2606"/>
      <c r="T21" s="2606"/>
      <c r="U21" s="2606"/>
      <c r="V21" s="2606"/>
      <c r="W21" s="2606"/>
      <c r="X21" s="1258" t="s">
        <v>408</v>
      </c>
      <c r="Z21" s="500"/>
      <c r="AA21" s="500" t="str">
        <f>IF(M21="","",M21)</f>
        <v>Наименование системы теплоснабжения </v>
      </c>
      <c r="AB21" s="500"/>
      <c r="AC21" s="500"/>
      <c r="AD21" s="1155">
        <v>23</v>
      </c>
    </row>
    <row customHeight="1" ht="21">
      <c r="A22" s="1363" t="s">
        <v>178</v>
      </c>
      <c r="B22" s="1363" t="s">
        <v>179</v>
      </c>
      <c r="C22" s="1363" t="s">
        <v>180</v>
      </c>
      <c r="D22" s="1363" t="s">
        <v>181</v>
      </c>
      <c r="E22" s="1363"/>
      <c r="F22" s="1365"/>
      <c r="G22" s="1365"/>
      <c r="H22" s="1365"/>
      <c r="I22" s="354"/>
      <c r="J22" s="352"/>
      <c r="K22" s="353"/>
      <c r="L22" s="1293" t="str">
        <f>INDEX(PT_DIFFERENTIATION_NUM_IST_TE,MATCH(D19,PT_DIFFERENTIATION_IST_TE_ID,0))</f>
        <v>...</v>
      </c>
      <c r="M22" s="310" t="s">
        <v>409</v>
      </c>
      <c r="N22" s="300"/>
      <c r="O22" s="2606" t="str">
        <f>INDEX(PT_DIFFERENTIATION_IST_TE,MATCH(D19,PT_DIFFERENTIATION_IST_TE_ID,0))</f>
        <v/>
      </c>
      <c r="P22" s="2606"/>
      <c r="Q22" s="2606"/>
      <c r="R22" s="2606"/>
      <c r="S22" s="2606"/>
      <c r="T22" s="2606"/>
      <c r="U22" s="2606"/>
      <c r="V22" s="2606"/>
      <c r="W22" s="2606"/>
      <c r="X22" s="1258" t="s">
        <v>410</v>
      </c>
      <c r="Z22" s="500"/>
      <c r="AA22" s="500" t="str">
        <f>IF(M22="","",M22)</f>
        <v>Источник тепловой энергии  </v>
      </c>
      <c r="AB22" s="500"/>
      <c r="AC22" s="500"/>
      <c r="AD22" s="1155">
        <v>20</v>
      </c>
    </row>
    <row customHeight="1" ht="96.75">
      <c r="A23" s="1363" t="s">
        <v>178</v>
      </c>
      <c r="B23" s="1363" t="s">
        <v>179</v>
      </c>
      <c r="C23" s="1363" t="s">
        <v>180</v>
      </c>
      <c r="D23" s="1363" t="s">
        <v>181</v>
      </c>
      <c r="E23" s="1363"/>
      <c r="F23" s="2607" t="str">
        <f>L22&amp;".1"</f>
        <v>....1</v>
      </c>
      <c r="I23" s="2257">
        <v>1</v>
      </c>
      <c r="J23" s="1291"/>
      <c r="K23" s="356"/>
      <c r="L23" s="1293" t="str">
        <f>$F$23</f>
        <v>....1</v>
      </c>
      <c r="M23" s="285" t="s">
        <v>412</v>
      </c>
      <c r="N23" s="300"/>
      <c r="O23" s="2305"/>
      <c r="P23" s="2305"/>
      <c r="Q23" s="2305"/>
      <c r="R23" s="2305"/>
      <c r="S23" s="2305"/>
      <c r="T23" s="2305"/>
      <c r="U23" s="2305"/>
      <c r="V23" s="2305"/>
      <c r="W23" s="2305"/>
      <c r="X23" s="1258" t="s">
        <v>413</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178</v>
      </c>
      <c r="B24" s="1363" t="s">
        <v>179</v>
      </c>
      <c r="C24" s="1363" t="s">
        <v>180</v>
      </c>
      <c r="D24" s="1363" t="s">
        <v>181</v>
      </c>
      <c r="E24" s="1363"/>
      <c r="F24" s="2607"/>
      <c r="G24" s="2217" t="str">
        <f>F23&amp;".1"</f>
        <v>....1.1</v>
      </c>
      <c r="I24" s="2257"/>
      <c r="J24" s="2257">
        <v>1</v>
      </c>
      <c r="K24" s="357"/>
      <c r="L24" s="1293" t="str">
        <f>$G$24</f>
        <v>....1.1</v>
      </c>
      <c r="M24" s="286" t="s">
        <v>415</v>
      </c>
      <c r="N24" s="300"/>
      <c r="O24" s="2245"/>
      <c r="P24" s="2246"/>
      <c r="Q24" s="2246"/>
      <c r="R24" s="2246"/>
      <c r="S24" s="2246"/>
      <c r="T24" s="2246"/>
      <c r="U24" s="2246"/>
      <c r="V24" s="2246"/>
      <c r="W24" s="2247"/>
      <c r="X24" s="1258" t="s">
        <v>416</v>
      </c>
      <c r="Z24" s="500"/>
      <c r="AA24" s="500" t="str">
        <f>IF(M24="","",M24)</f>
        <v>Группа потребителей</v>
      </c>
      <c r="AB24" s="500"/>
      <c r="AC24" s="500"/>
      <c r="AD24" s="1155">
        <v>82</v>
      </c>
    </row>
    <row customHeight="1" ht="11.549999999999999">
      <c r="A25" s="1363" t="s">
        <v>178</v>
      </c>
      <c r="B25" s="1363" t="s">
        <v>179</v>
      </c>
      <c r="C25" s="1363" t="s">
        <v>180</v>
      </c>
      <c r="D25" s="1363" t="s">
        <v>181</v>
      </c>
      <c r="E25" s="1363"/>
      <c r="F25" s="2607"/>
      <c r="G25" s="2217"/>
      <c r="H25" s="2217" t="str">
        <f>G24&amp;".1"</f>
        <v>....1.1.1</v>
      </c>
      <c r="I25" s="2257"/>
      <c r="J25" s="2257"/>
      <c r="K25" s="357">
        <v>1</v>
      </c>
      <c r="L25" s="1293" t="str">
        <f>$H$25</f>
        <v>....1.1.1</v>
      </c>
      <c r="M25" s="1347"/>
      <c r="N25" s="300"/>
      <c r="O25" s="751"/>
      <c r="P25" s="325"/>
      <c r="Q25" s="751"/>
      <c r="R25" s="1257"/>
      <c r="S25" s="2602"/>
      <c r="T25" s="2107" t="s">
        <v>70</v>
      </c>
      <c r="U25" s="2602"/>
      <c r="V25" s="2107" t="s">
        <v>19</v>
      </c>
      <c r="W25" s="325"/>
      <c r="X25" s="2253" t="s">
        <v>418</v>
      </c>
      <c r="Y25" s="511">
        <f>STRCHECKDATE(O26:W26)</f>
      </c>
      <c r="Z25" s="500"/>
      <c r="AA25" s="500" t="str">
        <f>IF(M25="","",M25)</f>
        <v/>
      </c>
      <c r="AB25" s="500"/>
      <c r="AC25" s="500"/>
      <c r="AD25" s="1155">
        <v>11</v>
      </c>
    </row>
    <row customHeight="1" ht="11.549999999999999">
      <c r="A26" s="1363" t="s">
        <v>178</v>
      </c>
      <c r="B26" s="1363" t="s">
        <v>179</v>
      </c>
      <c r="C26" s="1363" t="s">
        <v>180</v>
      </c>
      <c r="D26" s="1363" t="s">
        <v>181</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178</v>
      </c>
      <c r="B27" s="1363" t="s">
        <v>179</v>
      </c>
      <c r="C27" s="1363" t="s">
        <v>180</v>
      </c>
      <c r="D27" s="1363" t="s">
        <v>181</v>
      </c>
      <c r="E27" s="1363"/>
      <c r="F27" s="2607"/>
      <c r="G27" s="2217"/>
      <c r="I27" s="2257"/>
      <c r="J27" s="2257"/>
      <c r="K27" s="356"/>
      <c r="L27" s="1278"/>
      <c r="M27" s="288" t="s">
        <v>419</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178</v>
      </c>
      <c r="B28" s="1363" t="s">
        <v>179</v>
      </c>
      <c r="C28" s="1363" t="s">
        <v>180</v>
      </c>
      <c r="D28" s="1363" t="s">
        <v>181</v>
      </c>
      <c r="E28" s="1363"/>
      <c r="F28" s="2607"/>
      <c r="I28" s="2257"/>
      <c r="J28" s="1291"/>
      <c r="K28" s="356"/>
      <c r="L28" s="1278"/>
      <c r="M28" s="287" t="s">
        <v>420</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178</v>
      </c>
      <c r="B29" s="1363" t="s">
        <v>179</v>
      </c>
      <c r="C29" s="1363" t="s">
        <v>180</v>
      </c>
      <c r="D29" s="1363" t="s">
        <v>181</v>
      </c>
      <c r="E29" s="1363"/>
      <c r="F29" s="1365"/>
      <c r="G29" s="1365"/>
      <c r="H29" s="537"/>
      <c r="I29" s="360"/>
      <c r="J29" s="375"/>
      <c r="K29" s="355"/>
      <c r="L29" s="1278"/>
      <c r="M29" s="365" t="s">
        <v>421</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178</v>
      </c>
      <c r="B30" s="1363" t="s">
        <v>179</v>
      </c>
      <c r="C30" s="1363" t="s">
        <v>180</v>
      </c>
      <c r="D30" s="1363"/>
      <c r="E30" s="1363" t="s">
        <v>594</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178</v>
      </c>
      <c r="B31" s="1363" t="s">
        <v>179</v>
      </c>
      <c r="C31" s="1363"/>
      <c r="D31" s="1363"/>
      <c r="E31" s="1363" t="s">
        <v>2231</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2232</v>
      </c>
      <c r="B32" s="1363"/>
      <c r="C32" s="1363"/>
      <c r="D32" s="1363"/>
      <c r="E32" s="1363" t="s">
        <v>108</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175</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811</v>
      </c>
      <c r="M35" s="2285" t="s">
        <v>2233</v>
      </c>
      <c r="N35" s="2285"/>
      <c r="O35" s="2285"/>
      <c r="P35" s="2285"/>
      <c r="Q35" s="2285"/>
      <c r="R35" s="2285"/>
      <c r="S35" s="2285"/>
      <c r="T35" s="2285"/>
      <c r="U35" s="2285"/>
      <c r="V35" s="2285"/>
      <c r="W35" s="2285"/>
      <c r="X35" s="2285"/>
      <c r="AD35" s="1155">
        <v>27</v>
      </c>
    </row>
    <row customHeight="1" ht="109.19999999999999">
      <c r="H36" s="537"/>
      <c r="I36" s="1303"/>
      <c r="M36" s="2285" t="s">
        <v>2234</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86</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B917C8-C31B-44F7-2688-A0DD7149D59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B56564-74A8-A087-C1F8-0AB4143889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95B316-6DC8-8C78-0AE8-1EDDF3A6629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3B9E18-6814-47E8-92D2-FEE0C51DAF4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8AD9A1-4A48-34C8-A021-EA83F3BAE94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8C8A98-CDB8-60DA-20A8-C2193F3AC44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307</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8"/>
      <c r="F4" s="2159"/>
      <c r="I4" s="715"/>
      <c r="J4" s="455">
        <v>26</v>
      </c>
    </row>
    <row customHeight="1" ht="18">
      <c r="D5" s="2176" t="str">
        <f>IF(org=0,"Не определено",org)</f>
        <v>ООО "Энерго-Сервис"</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308</v>
      </c>
      <c r="E8" s="2205"/>
      <c r="F8" s="2205"/>
      <c r="G8" s="2208" t="s">
        <v>309</v>
      </c>
      <c r="J8" s="455">
        <v>11</v>
      </c>
    </row>
    <row customHeight="1" ht="11.549999999999999">
      <c r="A9" s="457"/>
      <c r="B9" s="502"/>
      <c r="C9" s="457"/>
      <c r="D9" s="472" t="s">
        <v>92</v>
      </c>
      <c r="E9" s="446" t="s">
        <v>310</v>
      </c>
      <c r="F9" s="446" t="s">
        <v>311</v>
      </c>
      <c r="G9" s="2209"/>
      <c r="J9" s="455">
        <v>11</v>
      </c>
    </row>
    <row customHeight="1" ht="12" hidden="1">
      <c r="A10" s="457"/>
      <c r="B10" s="502"/>
      <c r="C10" s="457"/>
      <c r="D10" s="464"/>
      <c r="E10" s="464"/>
      <c r="F10" s="464"/>
      <c r="G10" s="464"/>
      <c r="J10" s="455">
        <v>0</v>
      </c>
    </row>
    <row customHeight="1" ht="22.5" hidden="1">
      <c r="A11" s="457"/>
      <c r="B11" s="502"/>
      <c r="C11" s="457"/>
      <c r="D11" s="1009" t="s">
        <v>113</v>
      </c>
      <c r="E11" s="1012" t="s">
        <v>312</v>
      </c>
      <c r="F11" s="1011" t="str">
        <f>IF(region_name="","",region_name)</f>
        <v>Курская область</v>
      </c>
      <c r="G11" s="1012" t="s">
        <v>313</v>
      </c>
      <c r="H11" s="475"/>
      <c r="J11" s="455">
        <v>0</v>
      </c>
    </row>
    <row customHeight="1" ht="22.5" hidden="1">
      <c r="A12" s="457"/>
      <c r="B12" s="502"/>
      <c r="C12" s="457"/>
      <c r="D12" s="445" t="s">
        <v>113</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3" t="s">
        <v>314</v>
      </c>
      <c r="G12" s="474"/>
      <c r="H12" s="475"/>
      <c r="J12" s="455">
        <v>0</v>
      </c>
    </row>
    <row customHeight="1" ht="23.25">
      <c r="A13" s="457"/>
      <c r="B13" s="502"/>
      <c r="C13" s="457"/>
      <c r="D13" s="445" t="s">
        <v>113</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5"/>
      <c r="J13" s="455">
        <v>22</v>
      </c>
    </row>
    <row customHeight="1" ht="22.5" hidden="1">
      <c r="A14" s="457"/>
      <c r="B14" s="502"/>
      <c r="C14" s="457"/>
      <c r="D14" s="1009" t="s">
        <v>315</v>
      </c>
      <c r="E14" s="1010" t="s">
        <v>316</v>
      </c>
      <c r="F14" s="1011" t="str">
        <f>IF(inn="","",inn)</f>
        <v>4632032678</v>
      </c>
      <c r="G14" s="1012" t="s">
        <v>317</v>
      </c>
      <c r="H14" s="475"/>
      <c r="J14" s="455">
        <v>0</v>
      </c>
    </row>
    <row customHeight="1" ht="22.5" hidden="1">
      <c r="A15" s="457"/>
      <c r="B15" s="502"/>
      <c r="C15" s="457"/>
      <c r="D15" s="1009" t="s">
        <v>318</v>
      </c>
      <c r="E15" s="1010" t="s">
        <v>319</v>
      </c>
      <c r="F15" s="1011" t="str">
        <f>IF(kpp="","",kpp)</f>
        <v>463201001</v>
      </c>
      <c r="G15" s="1012" t="s">
        <v>320</v>
      </c>
      <c r="H15" s="475"/>
      <c r="J15" s="455">
        <v>0</v>
      </c>
    </row>
    <row customHeight="1" ht="39">
      <c r="A16" s="457"/>
      <c r="B16" s="502"/>
      <c r="C16" s="457"/>
      <c r="D16" s="445" t="s">
        <v>114</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94</v>
      </c>
      <c r="E17" s="442" t="str">
        <f>"Дата присвоения ОГРН"&amp;IF(TEMPLATE_SPHERE="TKO",""," (ОГРНИП)")</f>
        <v>Дата присвоения ОГРН (ОГРНИП)</v>
      </c>
      <c r="F17" s="1732" t="s">
        <v>28</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95</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hidden="1">
      <c r="A19" s="2202" t="s">
        <v>321</v>
      </c>
      <c r="B19" s="502"/>
      <c r="C19" s="2213"/>
      <c r="D19" s="445" t="str">
        <f>A19</f>
        <v>5.1</v>
      </c>
      <c r="E19" s="442" t="s">
        <v>322</v>
      </c>
      <c r="F19" s="443" t="s">
        <v>314</v>
      </c>
      <c r="G19" s="444" t="s">
        <v>323</v>
      </c>
      <c r="H19" s="475"/>
      <c r="I19" s="852"/>
      <c r="J19" s="455">
        <v>0</v>
      </c>
    </row>
    <row customHeight="1" ht="24" hidden="1">
      <c r="A20" s="2202"/>
      <c r="B20" s="502"/>
      <c r="C20" s="2213"/>
      <c r="D20" s="440" t="str">
        <f>D19&amp;".1"</f>
        <v>5.1.1</v>
      </c>
      <c r="E20" s="439" t="s">
        <v>324</v>
      </c>
      <c r="F20" s="881" t="s">
        <v>28</v>
      </c>
      <c r="G20" s="474"/>
      <c r="H20" s="475"/>
      <c r="I20" s="852"/>
      <c r="J20" s="455">
        <v>0</v>
      </c>
    </row>
    <row customHeight="1" ht="22.5" hidden="1">
      <c r="A21" s="2202"/>
      <c r="B21" s="502"/>
      <c r="C21" s="2213"/>
      <c r="D21" s="440" t="str">
        <f>D19&amp;".2"</f>
        <v>5.1.2</v>
      </c>
      <c r="E21" s="439" t="s">
        <v>325</v>
      </c>
      <c r="F21" s="1733" t="s">
        <v>28</v>
      </c>
      <c r="G21" s="444" t="s">
        <v>326</v>
      </c>
      <c r="H21" s="475"/>
      <c r="I21" s="852"/>
      <c r="J21" s="455">
        <v>0</v>
      </c>
    </row>
    <row customHeight="1" ht="22.5" hidden="1">
      <c r="A22" s="2202"/>
      <c r="B22" s="502"/>
      <c r="C22" s="2213"/>
      <c r="D22" s="440" t="str">
        <f>D19&amp;".3"</f>
        <v>5.1.3</v>
      </c>
      <c r="E22" s="439" t="s">
        <v>327</v>
      </c>
      <c r="F22" s="881" t="s">
        <v>28</v>
      </c>
      <c r="G22" s="474"/>
      <c r="H22" s="475"/>
      <c r="I22" s="852"/>
      <c r="J22" s="455">
        <v>0</v>
      </c>
    </row>
    <row customHeight="1" ht="22.5" hidden="1">
      <c r="A23" s="2202"/>
      <c r="B23" s="502"/>
      <c r="C23" s="2213"/>
      <c r="D23" s="440" t="str">
        <f>D19&amp;".4"</f>
        <v>5.1.4</v>
      </c>
      <c r="E23" s="439" t="s">
        <v>328</v>
      </c>
      <c r="F23" s="881" t="s">
        <v>28</v>
      </c>
      <c r="G23" s="444" t="s">
        <v>329</v>
      </c>
      <c r="H23" s="475"/>
      <c r="I23" s="852"/>
      <c r="J23" s="455">
        <v>0</v>
      </c>
    </row>
    <row customHeight="1" ht="22.5" hidden="1">
      <c r="A24" s="1978"/>
      <c r="B24" s="502"/>
      <c r="C24" s="492"/>
      <c r="D24" s="467"/>
      <c r="E24" s="1168" t="s">
        <v>330</v>
      </c>
      <c r="F24" s="468"/>
      <c r="G24" s="469"/>
      <c r="H24" s="475"/>
      <c r="I24" s="852"/>
      <c r="J24" s="455">
        <v>0</v>
      </c>
    </row>
    <row s="501" customFormat="1" customHeight="1" ht="24.75" hidden="1">
      <c r="A25" s="457"/>
      <c r="B25" s="502"/>
      <c r="C25" s="502"/>
      <c r="D25" s="1006" t="s">
        <v>94</v>
      </c>
      <c r="E25" s="1008" t="s">
        <v>331</v>
      </c>
      <c r="F25" s="1013" t="s">
        <v>314</v>
      </c>
      <c r="G25" s="1008"/>
      <c r="J25" s="501">
        <v>0</v>
      </c>
    </row>
    <row s="501" customFormat="1" customHeight="1" ht="11.25" hidden="1">
      <c r="A26" s="457"/>
      <c r="B26" s="502"/>
      <c r="C26" s="502"/>
      <c r="D26" s="1006" t="s">
        <v>332</v>
      </c>
      <c r="E26" s="1007" t="s">
        <v>333</v>
      </c>
      <c r="F26" s="1013" t="s">
        <v>314</v>
      </c>
      <c r="G26" s="1008"/>
      <c r="J26" s="501">
        <v>0</v>
      </c>
    </row>
    <row s="501" customFormat="1" customHeight="1" ht="11.25" hidden="1">
      <c r="A27" s="457"/>
      <c r="B27" s="502"/>
      <c r="C27" s="502"/>
      <c r="D27" s="1006" t="s">
        <v>334</v>
      </c>
      <c r="E27" s="1014" t="s">
        <v>335</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336</v>
      </c>
      <c r="E28" s="1014" t="s">
        <v>337</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338</v>
      </c>
      <c r="E29" s="1014" t="s">
        <v>339</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340</v>
      </c>
      <c r="E30" s="1007" t="s">
        <v>341</v>
      </c>
      <c r="F30" s="1015"/>
      <c r="G30" s="1008"/>
      <c r="J30" s="501">
        <v>0</v>
      </c>
    </row>
    <row s="501" customFormat="1" customHeight="1" ht="11.25" hidden="1">
      <c r="A31" s="457"/>
      <c r="B31" s="502"/>
      <c r="C31" s="502"/>
      <c r="D31" s="1006" t="s">
        <v>342</v>
      </c>
      <c r="E31" s="1007" t="s">
        <v>343</v>
      </c>
      <c r="F31" s="1015"/>
      <c r="G31" s="1008"/>
      <c r="J31" s="501">
        <v>0</v>
      </c>
    </row>
    <row s="501" customFormat="1" customHeight="1" ht="11.25" hidden="1">
      <c r="A32" s="457"/>
      <c r="B32" s="502"/>
      <c r="C32" s="502"/>
      <c r="D32" s="1006" t="s">
        <v>344</v>
      </c>
      <c r="E32" s="1007" t="s">
        <v>345</v>
      </c>
      <c r="F32" s="1016"/>
      <c r="G32" s="1008"/>
      <c r="J32" s="501">
        <v>0</v>
      </c>
    </row>
    <row customHeight="1" ht="24">
      <c r="A33" s="457" t="str">
        <f>IF(TEMPLATE_SPHERE="HEAT","6","5")</f>
        <v>6</v>
      </c>
      <c r="B33" s="502"/>
      <c r="C33" s="457"/>
      <c r="D33" s="440" t="str">
        <f>A33</f>
        <v>6</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3" t="s">
        <v>314</v>
      </c>
      <c r="G33" s="474"/>
      <c r="H33" s="475"/>
      <c r="J33" s="455">
        <v>23</v>
      </c>
    </row>
    <row customHeight="1" ht="23.25">
      <c r="A34" s="457"/>
      <c r="B34" s="502"/>
      <c r="C34" s="457"/>
      <c r="D34" s="440" t="str">
        <f>D33&amp;".1"</f>
        <v>6.1</v>
      </c>
      <c r="E34" s="442" t="str">
        <f>"фамилия"&amp;IF(TEMPLATE_SPHERE&lt;&gt;"HEAT"," руководителя","")</f>
        <v>фамилия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5"/>
      <c r="J34" s="455">
        <v>22</v>
      </c>
    </row>
    <row customHeight="1" ht="23.25">
      <c r="A35" s="457"/>
      <c r="B35" s="502"/>
      <c r="C35" s="457"/>
      <c r="D35" s="440" t="str">
        <f>D33&amp;".2"</f>
        <v>6.2</v>
      </c>
      <c r="E35" s="442" t="str">
        <f>"имя"&amp;IF(TEMPLATE_SPHERE&lt;&gt;"HEAT"," руководителя","")</f>
        <v>имя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5"/>
      <c r="J35" s="455">
        <v>22</v>
      </c>
    </row>
    <row customHeight="1" ht="24">
      <c r="A36" s="457"/>
      <c r="B36" s="502"/>
      <c r="C36" s="457"/>
      <c r="D36" s="440" t="str">
        <f>D33&amp;".3"</f>
        <v>6.3</v>
      </c>
      <c r="E36" s="442" t="str">
        <f>"отчество"&amp;IF(TEMPLATE_SPHERE&lt;&gt;"HEAT"," руководителя","")</f>
        <v>отчество</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5"/>
      <c r="J36" s="455">
        <v>23</v>
      </c>
    </row>
    <row customHeight="1" ht="35.699999999999996">
      <c r="A37" s="457"/>
      <c r="B37" s="502"/>
      <c r="C37" s="457"/>
      <c r="D37" s="440">
        <f>D33+1</f>
        <v>7</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1"/>
      <c r="G37" s="444" t="s">
        <v>346</v>
      </c>
      <c r="H37" s="475"/>
      <c r="J37" s="455">
        <v>34</v>
      </c>
    </row>
    <row customHeight="1" ht="35.699999999999996">
      <c r="A38" s="457"/>
      <c r="B38" s="502"/>
      <c r="C38" s="457"/>
      <c r="D38" s="440">
        <f>D37+1</f>
        <v>8</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1"/>
      <c r="G38" s="444" t="s">
        <v>346</v>
      </c>
      <c r="H38" s="475"/>
      <c r="J38" s="455">
        <v>34</v>
      </c>
    </row>
    <row customHeight="1" ht="23.25">
      <c r="A39" s="457"/>
      <c r="B39" s="502"/>
      <c r="C39" s="457"/>
      <c r="D39" s="440">
        <f>D38+1</f>
        <v>9</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3" t="s">
        <v>314</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9.0</v>
      </c>
      <c r="E40" s="1605"/>
      <c r="F40" s="881"/>
      <c r="G40" s="2211"/>
      <c r="H40" s="475"/>
      <c r="J40" s="455">
        <v>0</v>
      </c>
    </row>
    <row customHeight="1" ht="23.25">
      <c r="A41" s="457"/>
      <c r="B41" s="457"/>
      <c r="C41" s="1688"/>
      <c r="D41" s="440" t="str">
        <f>D39&amp;".1"</f>
        <v>9.1</v>
      </c>
      <c r="E41" s="860"/>
      <c r="F41" s="861"/>
      <c r="G41" s="2211"/>
      <c r="H41" s="475"/>
      <c r="J41" s="455">
        <v>22</v>
      </c>
    </row>
    <row customHeight="1" ht="15.75">
      <c r="A42" s="457"/>
      <c r="B42" s="502"/>
      <c r="C42" s="457"/>
      <c r="D42" s="467"/>
      <c r="E42" s="415" t="s">
        <v>347</v>
      </c>
      <c r="F42" s="469"/>
      <c r="G42" s="2212"/>
      <c r="H42" s="476"/>
      <c r="J42" s="455">
        <v>15</v>
      </c>
    </row>
    <row customHeight="1" ht="27.299999999999997">
      <c r="A43" s="457"/>
      <c r="B43" s="502"/>
      <c r="C43" s="457"/>
      <c r="D43" s="440">
        <f>D39+1</f>
        <v>10</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11</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8"/>
      <c r="G44" s="474" t="s">
        <v>348</v>
      </c>
      <c r="H44" s="475"/>
      <c r="J44" s="455">
        <v>22</v>
      </c>
    </row>
    <row customHeight="1" ht="23.25">
      <c r="A45" s="457"/>
      <c r="B45" s="502"/>
      <c r="C45" s="457"/>
      <c r="D45" s="440">
        <f>D44+1</f>
        <v>12</v>
      </c>
      <c r="E45" s="438" t="s">
        <v>349</v>
      </c>
      <c r="F45" s="443" t="s">
        <v>314</v>
      </c>
      <c r="G45" s="437" t="str">
        <f>IF(TEMPLATE_SPHERE="TKO","Указывается режим работы организации.","")</f>
        <v/>
      </c>
      <c r="H45" s="475"/>
      <c r="J45" s="455">
        <v>22</v>
      </c>
    </row>
    <row customHeight="1" ht="24">
      <c r="A46" s="457"/>
      <c r="B46" s="502"/>
      <c r="C46" s="457"/>
      <c r="D46" s="440" t="str">
        <f>D45&amp;".1"</f>
        <v>12.1</v>
      </c>
      <c r="E46" s="442" t="str">
        <f>"режим работы регулируемой организации"&amp;IF(TEMPLATE_SPHERE="HEAT",", ЕТО, ТО","")</f>
        <v>режим работы регулируемой организации, ЕТО, ТО</v>
      </c>
      <c r="F46" s="1684"/>
      <c r="G46" s="437" t="s">
        <v>350</v>
      </c>
      <c r="H46" s="475"/>
      <c r="J46" s="455">
        <v>23</v>
      </c>
    </row>
    <row customHeight="1" ht="24">
      <c r="A47" s="2202"/>
      <c r="B47" s="502"/>
      <c r="C47" s="492"/>
      <c r="D47" s="440" t="str">
        <f>D45&amp;".2"</f>
        <v>12.2</v>
      </c>
      <c r="E47" s="442" t="s">
        <v>351</v>
      </c>
      <c r="F47" s="490"/>
      <c r="G47" s="437" t="s">
        <v>352</v>
      </c>
      <c r="H47" s="475"/>
      <c r="J47" s="455">
        <v>23</v>
      </c>
    </row>
    <row customHeight="1" ht="24">
      <c r="A48" s="2202"/>
      <c r="B48" s="502"/>
      <c r="C48" s="492"/>
      <c r="D48" s="440" t="str">
        <f>D45&amp;".3"</f>
        <v>12.3</v>
      </c>
      <c r="E48" s="442" t="s">
        <v>353</v>
      </c>
      <c r="F48" s="490"/>
      <c r="G48" s="437" t="s">
        <v>354</v>
      </c>
      <c r="H48" s="475"/>
      <c r="J48" s="455">
        <v>23</v>
      </c>
    </row>
    <row customHeight="1" ht="24">
      <c r="A49" s="2202"/>
      <c r="B49" s="502"/>
      <c r="C49" s="492"/>
      <c r="D49" s="440" t="str">
        <f>IF(TEMPLATE_SPHERE="TKO",D45&amp;".0",D45&amp;".4")</f>
        <v>12.4</v>
      </c>
      <c r="E49" s="436" t="s">
        <v>355</v>
      </c>
      <c r="F49" s="1685"/>
      <c r="G49" s="1762" t="s">
        <v>356</v>
      </c>
      <c r="H49" s="475"/>
      <c r="J49" s="455">
        <v>23</v>
      </c>
    </row>
    <row customHeight="1" ht="24">
      <c r="A50" s="457"/>
      <c r="B50" s="502"/>
      <c r="C50" s="457"/>
      <c r="D50" s="467"/>
      <c r="E50" s="415" t="s">
        <v>357</v>
      </c>
      <c r="F50" s="468"/>
      <c r="G50" s="1762" t="s">
        <v>358</v>
      </c>
      <c r="H50" s="476"/>
      <c r="J50" s="455">
        <v>23</v>
      </c>
    </row>
    <row customHeight="1" ht="24">
      <c r="A51" s="858"/>
      <c r="B51" s="502"/>
      <c r="C51" s="492"/>
      <c r="D51" s="440">
        <f>D45+1</f>
        <v>13</v>
      </c>
      <c r="E51" s="528" t="s">
        <v>359</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86</v>
      </c>
      <c r="B60" s="501">
        <v>0</v>
      </c>
      <c r="C60" s="455">
        <v>3</v>
      </c>
      <c r="D60" s="456">
        <v>6</v>
      </c>
      <c r="E60" s="455">
        <v>52</v>
      </c>
      <c r="F60" s="455">
        <v>48</v>
      </c>
      <c r="G60" s="455">
        <v>121</v>
      </c>
      <c r="H60" s="455">
        <v>8</v>
      </c>
      <c r="I60" s="455">
        <v>64</v>
      </c>
      <c r="J60" s="455">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206ADD-6C37-CA38-4428-B6350A03A0D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DC3767-0EAB-A8F8-CE15-29CBF880608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2ADC52-B109-55E1-05D8-6777644887AE}"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EF5788-6038-6438-0DA2-14FC9F0399E8}"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2235</v>
      </c>
      <c r="B1" s="2616" t="s">
        <v>2236</v>
      </c>
      <c r="C1" s="2617" t="s">
        <v>2237</v>
      </c>
      <c r="D1" s="2618"/>
      <c r="E1" s="836" t="s">
        <v>2238</v>
      </c>
    </row>
    <row customHeight="1" ht="11.25">
      <c r="A2" s="2619"/>
      <c r="B2" s="765" t="s">
        <v>26</v>
      </c>
      <c r="C2" s="753"/>
      <c r="D2" s="764"/>
      <c r="E2" s="836"/>
    </row>
    <row customHeight="1" ht="11.25">
      <c r="A3" s="2620"/>
      <c r="B3" s="2621" t="s">
        <v>33</v>
      </c>
      <c r="C3" s="753"/>
      <c r="D3" s="764"/>
      <c r="E3" s="836"/>
    </row>
    <row customHeight="1" ht="11.25">
      <c r="A4" s="2622"/>
      <c r="B4" s="766" t="s">
        <v>1664</v>
      </c>
      <c r="C4" s="753"/>
      <c r="D4" s="764"/>
      <c r="E4" s="836"/>
    </row>
    <row customHeight="1" ht="11.25">
      <c r="A5" s="2623"/>
      <c r="B5" s="766" t="s">
        <v>1658</v>
      </c>
      <c r="C5" s="2624" t="s">
        <v>2003</v>
      </c>
      <c r="D5" s="2625" t="s">
        <v>2239</v>
      </c>
      <c r="E5" s="836"/>
    </row>
    <row s="1850" customFormat="1" customHeight="1" ht="11.25">
      <c r="A6" s="2626"/>
      <c r="B6" s="766" t="s">
        <v>1668</v>
      </c>
      <c r="C6" s="753"/>
      <c r="D6" s="764"/>
      <c r="E6" s="836"/>
    </row>
    <row customHeight="1" ht="11.25">
      <c r="A7" s="2627"/>
      <c r="B7" s="766" t="s">
        <v>1675</v>
      </c>
      <c r="C7" s="753"/>
      <c r="D7" s="764"/>
      <c r="E7" s="836"/>
    </row>
    <row customHeight="1" ht="11.25">
      <c r="A8" s="756"/>
      <c r="B8" s="766" t="s">
        <v>1670</v>
      </c>
      <c r="C8" s="753"/>
      <c r="D8" s="764"/>
      <c r="E8" s="836"/>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6EB8F8-FA2C-74FB-A8C7-263E1879035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7B60A8-D6A8-C7A2-5408-ADF3EE85382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8D7E78-E048-4CD8-9548-31C12AF21448}" mc:Ignorable="x14ac xr xr2 xr3">
  <sheetPr>
    <tabColor rgb="FFFFCC99"/>
  </sheetPr>
  <dimension ref="A1:I368"/>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2240</v>
      </c>
      <c r="B1" s="68" t="s">
        <v>2241</v>
      </c>
      <c r="C1" s="68" t="s">
        <v>2242</v>
      </c>
      <c r="D1" s="68" t="s">
        <v>2243</v>
      </c>
      <c r="E1" s="68" t="s">
        <v>2244</v>
      </c>
      <c r="F1" s="68" t="s">
        <v>2245</v>
      </c>
      <c r="G1" s="68" t="s">
        <v>2246</v>
      </c>
      <c r="H1" s="68" t="s">
        <v>2247</v>
      </c>
      <c r="I1" s="68" t="s">
        <v>2248</v>
      </c>
    </row>
    <row customHeight="1" ht="11.25">
      <c r="A2" s="1850" t="s">
        <v>2249</v>
      </c>
      <c r="B2" s="1850" t="s">
        <v>16</v>
      </c>
      <c r="C2" s="1850" t="s">
        <v>2250</v>
      </c>
      <c r="D2" s="1850" t="s">
        <v>2251</v>
      </c>
      <c r="E2" s="1850" t="s">
        <v>2252</v>
      </c>
      <c r="F2" s="1850" t="s">
        <v>2253</v>
      </c>
      <c r="G2" s="1850" t="s">
        <v>28</v>
      </c>
      <c r="H2" s="1850" t="s">
        <v>28</v>
      </c>
      <c r="I2" s="1850" t="s">
        <v>815</v>
      </c>
    </row>
    <row customHeight="1" ht="11.25">
      <c r="A3" s="1850" t="s">
        <v>2249</v>
      </c>
      <c r="B3" s="1850" t="s">
        <v>16</v>
      </c>
      <c r="C3" s="1850" t="s">
        <v>2254</v>
      </c>
      <c r="D3" s="1850" t="s">
        <v>2255</v>
      </c>
      <c r="E3" s="1850" t="s">
        <v>2256</v>
      </c>
      <c r="F3" s="1850" t="s">
        <v>2257</v>
      </c>
      <c r="G3" s="1850" t="s">
        <v>2258</v>
      </c>
      <c r="H3" s="1850" t="s">
        <v>28</v>
      </c>
      <c r="I3" s="1850" t="s">
        <v>815</v>
      </c>
    </row>
    <row customHeight="1" ht="11.25">
      <c r="A4" s="1850" t="s">
        <v>2249</v>
      </c>
      <c r="B4" s="1850" t="s">
        <v>16</v>
      </c>
      <c r="C4" s="1850" t="s">
        <v>2259</v>
      </c>
      <c r="D4" s="1850" t="s">
        <v>2260</v>
      </c>
      <c r="E4" s="1850" t="s">
        <v>2261</v>
      </c>
      <c r="F4" s="1850" t="s">
        <v>55</v>
      </c>
      <c r="G4" s="1850" t="s">
        <v>2262</v>
      </c>
      <c r="H4" s="1850" t="s">
        <v>28</v>
      </c>
      <c r="I4" s="1850" t="s">
        <v>815</v>
      </c>
    </row>
    <row customHeight="1" ht="11.25">
      <c r="A5" s="1850" t="s">
        <v>2249</v>
      </c>
      <c r="B5" s="1850" t="s">
        <v>16</v>
      </c>
      <c r="C5" s="1850" t="s">
        <v>2263</v>
      </c>
      <c r="D5" s="1850" t="s">
        <v>2264</v>
      </c>
      <c r="E5" s="1850" t="s">
        <v>2265</v>
      </c>
      <c r="F5" s="1850" t="s">
        <v>2266</v>
      </c>
      <c r="G5" s="1850" t="s">
        <v>28</v>
      </c>
      <c r="H5" s="1850" t="s">
        <v>28</v>
      </c>
      <c r="I5" s="1850" t="s">
        <v>815</v>
      </c>
    </row>
    <row customHeight="1" ht="11.25">
      <c r="A6" s="1850" t="s">
        <v>2249</v>
      </c>
      <c r="B6" s="1850" t="s">
        <v>16</v>
      </c>
      <c r="C6" s="1850" t="s">
        <v>2267</v>
      </c>
      <c r="D6" s="1850" t="s">
        <v>2268</v>
      </c>
      <c r="E6" s="1850" t="s">
        <v>2269</v>
      </c>
      <c r="F6" s="1850" t="s">
        <v>55</v>
      </c>
      <c r="G6" s="1850" t="s">
        <v>2270</v>
      </c>
      <c r="H6" s="1850" t="s">
        <v>28</v>
      </c>
      <c r="I6" s="1850" t="s">
        <v>815</v>
      </c>
    </row>
    <row customHeight="1" ht="11.25">
      <c r="A7" s="1850" t="s">
        <v>2249</v>
      </c>
      <c r="B7" s="1850" t="s">
        <v>16</v>
      </c>
      <c r="C7" s="1850" t="s">
        <v>2271</v>
      </c>
      <c r="D7" s="1850" t="s">
        <v>2272</v>
      </c>
      <c r="E7" s="1850" t="s">
        <v>2273</v>
      </c>
      <c r="F7" s="1850" t="s">
        <v>2274</v>
      </c>
      <c r="G7" s="1850" t="s">
        <v>2275</v>
      </c>
      <c r="H7" s="1850" t="s">
        <v>28</v>
      </c>
      <c r="I7" s="1850" t="s">
        <v>815</v>
      </c>
    </row>
    <row customHeight="1" ht="11.25">
      <c r="A8" s="1850" t="s">
        <v>2249</v>
      </c>
      <c r="B8" s="1850" t="s">
        <v>16</v>
      </c>
      <c r="C8" s="1850" t="s">
        <v>2276</v>
      </c>
      <c r="D8" s="1850" t="s">
        <v>2277</v>
      </c>
      <c r="E8" s="1850" t="s">
        <v>2278</v>
      </c>
      <c r="F8" s="1850" t="s">
        <v>2279</v>
      </c>
      <c r="G8" s="1850" t="s">
        <v>28</v>
      </c>
      <c r="H8" s="1850" t="s">
        <v>28</v>
      </c>
      <c r="I8" s="1850" t="s">
        <v>815</v>
      </c>
    </row>
    <row customHeight="1" ht="11.25">
      <c r="A9" s="1850" t="s">
        <v>2249</v>
      </c>
      <c r="B9" s="1850" t="s">
        <v>16</v>
      </c>
      <c r="C9" s="1850" t="s">
        <v>2280</v>
      </c>
      <c r="D9" s="1850" t="s">
        <v>2281</v>
      </c>
      <c r="E9" s="1850" t="s">
        <v>2282</v>
      </c>
      <c r="F9" s="1850" t="s">
        <v>2283</v>
      </c>
      <c r="G9" s="1850" t="s">
        <v>28</v>
      </c>
      <c r="H9" s="1850" t="s">
        <v>28</v>
      </c>
      <c r="I9" s="1850" t="s">
        <v>815</v>
      </c>
    </row>
    <row customHeight="1" ht="11.25">
      <c r="A10" s="1850" t="s">
        <v>2249</v>
      </c>
      <c r="B10" s="1850" t="s">
        <v>16</v>
      </c>
      <c r="C10" s="1850" t="s">
        <v>2284</v>
      </c>
      <c r="D10" s="1850" t="s">
        <v>2285</v>
      </c>
      <c r="E10" s="1850" t="s">
        <v>2286</v>
      </c>
      <c r="F10" s="1850" t="s">
        <v>2287</v>
      </c>
      <c r="G10" s="1850" t="s">
        <v>28</v>
      </c>
      <c r="H10" s="1850" t="s">
        <v>28</v>
      </c>
      <c r="I10" s="1850" t="s">
        <v>815</v>
      </c>
    </row>
    <row customHeight="1" ht="11.25">
      <c r="A11" s="1850" t="s">
        <v>2249</v>
      </c>
      <c r="B11" s="1850" t="s">
        <v>16</v>
      </c>
      <c r="C11" s="1850" t="s">
        <v>2288</v>
      </c>
      <c r="D11" s="1850" t="s">
        <v>2289</v>
      </c>
      <c r="E11" s="1850" t="s">
        <v>2290</v>
      </c>
      <c r="F11" s="1850" t="s">
        <v>55</v>
      </c>
      <c r="G11" s="1850" t="s">
        <v>28</v>
      </c>
      <c r="H11" s="1850" t="s">
        <v>28</v>
      </c>
      <c r="I11" s="1850" t="s">
        <v>815</v>
      </c>
    </row>
    <row customHeight="1" ht="11.25">
      <c r="A12" s="1850" t="s">
        <v>2249</v>
      </c>
      <c r="B12" s="1850" t="s">
        <v>16</v>
      </c>
      <c r="C12" s="1850" t="s">
        <v>2291</v>
      </c>
      <c r="D12" s="1850" t="s">
        <v>2292</v>
      </c>
      <c r="E12" s="1850" t="s">
        <v>2293</v>
      </c>
      <c r="F12" s="1850" t="s">
        <v>55</v>
      </c>
      <c r="G12" s="1850" t="s">
        <v>28</v>
      </c>
      <c r="H12" s="1850" t="s">
        <v>28</v>
      </c>
      <c r="I12" s="1850" t="s">
        <v>815</v>
      </c>
    </row>
    <row customHeight="1" ht="11.25">
      <c r="A13" s="1850" t="s">
        <v>2249</v>
      </c>
      <c r="B13" s="1850" t="s">
        <v>16</v>
      </c>
      <c r="C13" s="1850" t="s">
        <v>2294</v>
      </c>
      <c r="D13" s="1850" t="s">
        <v>2295</v>
      </c>
      <c r="E13" s="1850" t="s">
        <v>2296</v>
      </c>
      <c r="F13" s="1850" t="s">
        <v>2297</v>
      </c>
      <c r="G13" s="1850" t="s">
        <v>28</v>
      </c>
      <c r="H13" s="1850" t="s">
        <v>2298</v>
      </c>
      <c r="I13" s="1850" t="s">
        <v>815</v>
      </c>
    </row>
    <row customHeight="1" ht="11.25">
      <c r="A14" s="1850" t="s">
        <v>2249</v>
      </c>
      <c r="B14" s="1850" t="s">
        <v>16</v>
      </c>
      <c r="C14" s="1850" t="s">
        <v>2299</v>
      </c>
      <c r="D14" s="1850" t="s">
        <v>2300</v>
      </c>
      <c r="E14" s="1850" t="s">
        <v>2301</v>
      </c>
      <c r="F14" s="1850" t="s">
        <v>2302</v>
      </c>
      <c r="G14" s="1850" t="s">
        <v>28</v>
      </c>
      <c r="H14" s="1850" t="s">
        <v>28</v>
      </c>
      <c r="I14" s="1850" t="s">
        <v>815</v>
      </c>
    </row>
    <row customHeight="1" ht="11.25">
      <c r="A15" s="1850" t="s">
        <v>2249</v>
      </c>
      <c r="B15" s="1850" t="s">
        <v>16</v>
      </c>
      <c r="C15" s="1850" t="s">
        <v>2303</v>
      </c>
      <c r="D15" s="1850" t="s">
        <v>2304</v>
      </c>
      <c r="E15" s="1850" t="s">
        <v>2301</v>
      </c>
      <c r="F15" s="1850" t="s">
        <v>2305</v>
      </c>
      <c r="G15" s="1850" t="s">
        <v>28</v>
      </c>
      <c r="H15" s="1850" t="s">
        <v>28</v>
      </c>
      <c r="I15" s="1850" t="s">
        <v>815</v>
      </c>
    </row>
    <row customHeight="1" ht="11.25">
      <c r="A16" s="1850" t="s">
        <v>2249</v>
      </c>
      <c r="B16" s="1850" t="s">
        <v>16</v>
      </c>
      <c r="C16" s="1850" t="s">
        <v>2306</v>
      </c>
      <c r="D16" s="1850" t="s">
        <v>2307</v>
      </c>
      <c r="E16" s="1850" t="s">
        <v>2308</v>
      </c>
      <c r="F16" s="1850" t="s">
        <v>55</v>
      </c>
      <c r="G16" s="1850" t="s">
        <v>28</v>
      </c>
      <c r="H16" s="1850" t="s">
        <v>28</v>
      </c>
      <c r="I16" s="1850" t="s">
        <v>815</v>
      </c>
    </row>
    <row customHeight="1" ht="11.25">
      <c r="A17" s="1850" t="s">
        <v>2249</v>
      </c>
      <c r="B17" s="1850" t="s">
        <v>16</v>
      </c>
      <c r="C17" s="1850" t="s">
        <v>2309</v>
      </c>
      <c r="D17" s="1850" t="s">
        <v>2310</v>
      </c>
      <c r="E17" s="1850" t="s">
        <v>2311</v>
      </c>
      <c r="F17" s="1850" t="s">
        <v>583</v>
      </c>
      <c r="G17" s="1850" t="s">
        <v>28</v>
      </c>
      <c r="H17" s="1850" t="s">
        <v>28</v>
      </c>
      <c r="I17" s="1850" t="s">
        <v>815</v>
      </c>
    </row>
    <row customHeight="1" ht="11.25">
      <c r="A18" s="1850" t="s">
        <v>2249</v>
      </c>
      <c r="B18" s="1850" t="s">
        <v>16</v>
      </c>
      <c r="C18" s="1850" t="s">
        <v>2312</v>
      </c>
      <c r="D18" s="1850" t="s">
        <v>2313</v>
      </c>
      <c r="E18" s="1850" t="s">
        <v>2314</v>
      </c>
      <c r="F18" s="1850" t="s">
        <v>2315</v>
      </c>
      <c r="G18" s="1850" t="s">
        <v>2316</v>
      </c>
      <c r="H18" s="1850" t="s">
        <v>28</v>
      </c>
      <c r="I18" s="1850" t="s">
        <v>815</v>
      </c>
    </row>
    <row customHeight="1" ht="11.25">
      <c r="A19" s="1850" t="s">
        <v>2249</v>
      </c>
      <c r="B19" s="1850" t="s">
        <v>16</v>
      </c>
      <c r="C19" s="1850" t="s">
        <v>28</v>
      </c>
      <c r="D19" s="1850" t="s">
        <v>2317</v>
      </c>
      <c r="E19" s="1850" t="s">
        <v>2318</v>
      </c>
      <c r="F19" s="1850" t="s">
        <v>55</v>
      </c>
      <c r="G19" s="1850" t="s">
        <v>28</v>
      </c>
      <c r="H19" s="1850" t="s">
        <v>28</v>
      </c>
      <c r="I19" s="1850" t="s">
        <v>815</v>
      </c>
    </row>
    <row customHeight="1" ht="11.25">
      <c r="A20" s="1850" t="s">
        <v>2249</v>
      </c>
      <c r="B20" s="1850" t="s">
        <v>16</v>
      </c>
      <c r="C20" s="1850" t="s">
        <v>2319</v>
      </c>
      <c r="D20" s="1850" t="s">
        <v>2320</v>
      </c>
      <c r="E20" s="1850" t="s">
        <v>2321</v>
      </c>
      <c r="F20" s="1850" t="s">
        <v>2322</v>
      </c>
      <c r="G20" s="1850" t="s">
        <v>2323</v>
      </c>
      <c r="H20" s="1850" t="s">
        <v>28</v>
      </c>
      <c r="I20" s="1850" t="s">
        <v>815</v>
      </c>
    </row>
    <row customHeight="1" ht="11.25">
      <c r="A21" s="1850" t="s">
        <v>2249</v>
      </c>
      <c r="B21" s="1850" t="s">
        <v>16</v>
      </c>
      <c r="C21" s="1850" t="s">
        <v>2324</v>
      </c>
      <c r="D21" s="1850" t="s">
        <v>2325</v>
      </c>
      <c r="E21" s="1850" t="s">
        <v>2326</v>
      </c>
      <c r="F21" s="1850" t="s">
        <v>2327</v>
      </c>
      <c r="G21" s="1850" t="s">
        <v>2328</v>
      </c>
      <c r="H21" s="1850" t="s">
        <v>28</v>
      </c>
      <c r="I21" s="1850" t="s">
        <v>815</v>
      </c>
    </row>
    <row customHeight="1" ht="11.25">
      <c r="A22" s="1850" t="s">
        <v>2249</v>
      </c>
      <c r="B22" s="1850" t="s">
        <v>16</v>
      </c>
      <c r="C22" s="1850" t="s">
        <v>2329</v>
      </c>
      <c r="D22" s="1850" t="s">
        <v>2330</v>
      </c>
      <c r="E22" s="1850" t="s">
        <v>2331</v>
      </c>
      <c r="F22" s="1850" t="s">
        <v>2253</v>
      </c>
      <c r="G22" s="1850" t="s">
        <v>2332</v>
      </c>
      <c r="H22" s="1850" t="s">
        <v>28</v>
      </c>
      <c r="I22" s="1850" t="s">
        <v>815</v>
      </c>
    </row>
    <row customHeight="1" ht="11.25">
      <c r="A23" s="1850" t="s">
        <v>2249</v>
      </c>
      <c r="B23" s="1850" t="s">
        <v>16</v>
      </c>
      <c r="C23" s="1850" t="s">
        <v>2333</v>
      </c>
      <c r="D23" s="1850" t="s">
        <v>2334</v>
      </c>
      <c r="E23" s="1850" t="s">
        <v>2335</v>
      </c>
      <c r="F23" s="1850" t="s">
        <v>2336</v>
      </c>
      <c r="G23" s="1850" t="s">
        <v>28</v>
      </c>
      <c r="H23" s="1850" t="s">
        <v>28</v>
      </c>
      <c r="I23" s="1850" t="s">
        <v>815</v>
      </c>
    </row>
    <row customHeight="1" ht="11.25">
      <c r="A24" s="1850" t="s">
        <v>2249</v>
      </c>
      <c r="B24" s="1850" t="s">
        <v>16</v>
      </c>
      <c r="C24" s="1850" t="s">
        <v>2337</v>
      </c>
      <c r="D24" s="1850" t="s">
        <v>2338</v>
      </c>
      <c r="E24" s="1850" t="s">
        <v>2339</v>
      </c>
      <c r="F24" s="1850" t="s">
        <v>55</v>
      </c>
      <c r="G24" s="1850" t="s">
        <v>28</v>
      </c>
      <c r="H24" s="1850" t="s">
        <v>28</v>
      </c>
      <c r="I24" s="1850" t="s">
        <v>815</v>
      </c>
    </row>
    <row customHeight="1" ht="11.25">
      <c r="A25" s="1850" t="s">
        <v>2249</v>
      </c>
      <c r="B25" s="1850" t="s">
        <v>16</v>
      </c>
      <c r="C25" s="1850" t="s">
        <v>2340</v>
      </c>
      <c r="D25" s="1850" t="s">
        <v>2341</v>
      </c>
      <c r="E25" s="1850" t="s">
        <v>2342</v>
      </c>
      <c r="F25" s="1850" t="s">
        <v>2343</v>
      </c>
      <c r="G25" s="1850" t="s">
        <v>28</v>
      </c>
      <c r="H25" s="1850" t="s">
        <v>28</v>
      </c>
      <c r="I25" s="1850" t="s">
        <v>815</v>
      </c>
    </row>
    <row customHeight="1" ht="11.25">
      <c r="A26" s="1850" t="s">
        <v>2249</v>
      </c>
      <c r="B26" s="1850" t="s">
        <v>16</v>
      </c>
      <c r="C26" s="1850" t="s">
        <v>2344</v>
      </c>
      <c r="D26" s="1850" t="s">
        <v>2345</v>
      </c>
      <c r="E26" s="1850" t="s">
        <v>2346</v>
      </c>
      <c r="F26" s="1850" t="s">
        <v>2336</v>
      </c>
      <c r="G26" s="1850" t="s">
        <v>28</v>
      </c>
      <c r="H26" s="1850" t="s">
        <v>28</v>
      </c>
      <c r="I26" s="1850" t="s">
        <v>815</v>
      </c>
    </row>
    <row customHeight="1" ht="11.25">
      <c r="A27" s="1850" t="s">
        <v>2249</v>
      </c>
      <c r="B27" s="1850" t="s">
        <v>16</v>
      </c>
      <c r="C27" s="1850" t="s">
        <v>2347</v>
      </c>
      <c r="D27" s="1850" t="s">
        <v>2348</v>
      </c>
      <c r="E27" s="1850" t="s">
        <v>2349</v>
      </c>
      <c r="F27" s="1850" t="s">
        <v>2327</v>
      </c>
      <c r="G27" s="1850" t="s">
        <v>28</v>
      </c>
      <c r="H27" s="1850" t="s">
        <v>28</v>
      </c>
      <c r="I27" s="1850" t="s">
        <v>815</v>
      </c>
    </row>
    <row customHeight="1" ht="11.25">
      <c r="A28" s="1850" t="s">
        <v>2249</v>
      </c>
      <c r="B28" s="1850" t="s">
        <v>16</v>
      </c>
      <c r="C28" s="1850" t="s">
        <v>2350</v>
      </c>
      <c r="D28" s="1850" t="s">
        <v>2351</v>
      </c>
      <c r="E28" s="1850" t="s">
        <v>2352</v>
      </c>
      <c r="F28" s="1850" t="s">
        <v>2343</v>
      </c>
      <c r="G28" s="1850" t="s">
        <v>28</v>
      </c>
      <c r="H28" s="1850" t="s">
        <v>28</v>
      </c>
      <c r="I28" s="1850" t="s">
        <v>815</v>
      </c>
    </row>
    <row customHeight="1" ht="11.25">
      <c r="A29" s="1850" t="s">
        <v>2249</v>
      </c>
      <c r="B29" s="1850" t="s">
        <v>16</v>
      </c>
      <c r="C29" s="1850" t="s">
        <v>2353</v>
      </c>
      <c r="D29" s="1850" t="s">
        <v>2354</v>
      </c>
      <c r="E29" s="1850" t="s">
        <v>2355</v>
      </c>
      <c r="F29" s="1850" t="s">
        <v>2356</v>
      </c>
      <c r="G29" s="1850" t="s">
        <v>2357</v>
      </c>
      <c r="H29" s="1850" t="s">
        <v>28</v>
      </c>
      <c r="I29" s="1850" t="s">
        <v>815</v>
      </c>
    </row>
    <row customHeight="1" ht="11.25">
      <c r="A30" s="1850" t="s">
        <v>2249</v>
      </c>
      <c r="B30" s="1850" t="s">
        <v>16</v>
      </c>
      <c r="C30" s="1850" t="s">
        <v>2358</v>
      </c>
      <c r="D30" s="1850" t="s">
        <v>2359</v>
      </c>
      <c r="E30" s="1850" t="s">
        <v>2360</v>
      </c>
      <c r="F30" s="1850" t="s">
        <v>2361</v>
      </c>
      <c r="G30" s="1850" t="s">
        <v>2362</v>
      </c>
      <c r="H30" s="1850" t="s">
        <v>28</v>
      </c>
      <c r="I30" s="1850" t="s">
        <v>815</v>
      </c>
    </row>
    <row customHeight="1" ht="11.25">
      <c r="A31" s="1850" t="s">
        <v>2249</v>
      </c>
      <c r="B31" s="1850" t="s">
        <v>16</v>
      </c>
      <c r="C31" s="1850" t="s">
        <v>2363</v>
      </c>
      <c r="D31" s="1850" t="s">
        <v>2364</v>
      </c>
      <c r="E31" s="1850" t="s">
        <v>2365</v>
      </c>
      <c r="F31" s="1850" t="s">
        <v>2356</v>
      </c>
      <c r="G31" s="1850" t="s">
        <v>2366</v>
      </c>
      <c r="H31" s="1850" t="s">
        <v>28</v>
      </c>
      <c r="I31" s="1850" t="s">
        <v>815</v>
      </c>
    </row>
    <row customHeight="1" ht="11.25">
      <c r="A32" s="1850" t="s">
        <v>2249</v>
      </c>
      <c r="B32" s="1850" t="s">
        <v>16</v>
      </c>
      <c r="C32" s="1850" t="s">
        <v>2367</v>
      </c>
      <c r="D32" s="1850" t="s">
        <v>2368</v>
      </c>
      <c r="E32" s="1850" t="s">
        <v>2369</v>
      </c>
      <c r="F32" s="1850" t="s">
        <v>2257</v>
      </c>
      <c r="G32" s="1850" t="s">
        <v>28</v>
      </c>
      <c r="H32" s="1850" t="s">
        <v>28</v>
      </c>
      <c r="I32" s="1850" t="s">
        <v>815</v>
      </c>
    </row>
    <row customHeight="1" ht="11.25">
      <c r="A33" s="1850" t="s">
        <v>2249</v>
      </c>
      <c r="B33" s="1850" t="s">
        <v>16</v>
      </c>
      <c r="C33" s="1850" t="s">
        <v>2370</v>
      </c>
      <c r="D33" s="1850" t="s">
        <v>2371</v>
      </c>
      <c r="E33" s="1850" t="s">
        <v>2372</v>
      </c>
      <c r="F33" s="1850" t="s">
        <v>2373</v>
      </c>
      <c r="G33" s="1850" t="s">
        <v>28</v>
      </c>
      <c r="H33" s="1850" t="s">
        <v>28</v>
      </c>
      <c r="I33" s="1850" t="s">
        <v>815</v>
      </c>
    </row>
    <row customHeight="1" ht="11.25">
      <c r="A34" s="1850" t="s">
        <v>2249</v>
      </c>
      <c r="B34" s="1850" t="s">
        <v>16</v>
      </c>
      <c r="C34" s="1850" t="s">
        <v>2374</v>
      </c>
      <c r="D34" s="1850" t="s">
        <v>2375</v>
      </c>
      <c r="E34" s="1850" t="s">
        <v>2376</v>
      </c>
      <c r="F34" s="1850" t="s">
        <v>2377</v>
      </c>
      <c r="G34" s="1850" t="s">
        <v>28</v>
      </c>
      <c r="H34" s="1850" t="s">
        <v>28</v>
      </c>
      <c r="I34" s="1850" t="s">
        <v>815</v>
      </c>
    </row>
    <row customHeight="1" ht="11.25">
      <c r="A35" s="1850" t="s">
        <v>2249</v>
      </c>
      <c r="B35" s="1850" t="s">
        <v>16</v>
      </c>
      <c r="C35" s="1850" t="s">
        <v>2378</v>
      </c>
      <c r="D35" s="1850" t="s">
        <v>2379</v>
      </c>
      <c r="E35" s="1850" t="s">
        <v>2380</v>
      </c>
      <c r="F35" s="1850" t="s">
        <v>2381</v>
      </c>
      <c r="G35" s="1850" t="s">
        <v>28</v>
      </c>
      <c r="H35" s="1850" t="s">
        <v>28</v>
      </c>
      <c r="I35" s="1850" t="s">
        <v>815</v>
      </c>
    </row>
    <row customHeight="1" ht="11.25">
      <c r="A36" s="1850" t="s">
        <v>2249</v>
      </c>
      <c r="B36" s="1850" t="s">
        <v>16</v>
      </c>
      <c r="C36" s="1850" t="s">
        <v>2382</v>
      </c>
      <c r="D36" s="1850" t="s">
        <v>2383</v>
      </c>
      <c r="E36" s="1850" t="s">
        <v>2384</v>
      </c>
      <c r="F36" s="1850" t="s">
        <v>55</v>
      </c>
      <c r="G36" s="1850" t="s">
        <v>28</v>
      </c>
      <c r="H36" s="1850" t="s">
        <v>28</v>
      </c>
      <c r="I36" s="1850" t="s">
        <v>815</v>
      </c>
    </row>
    <row customHeight="1" ht="11.25">
      <c r="A37" s="1850" t="s">
        <v>2249</v>
      </c>
      <c r="B37" s="1850" t="s">
        <v>16</v>
      </c>
      <c r="C37" s="1850" t="s">
        <v>2385</v>
      </c>
      <c r="D37" s="1850" t="s">
        <v>2386</v>
      </c>
      <c r="E37" s="1850" t="s">
        <v>2293</v>
      </c>
      <c r="F37" s="1850" t="s">
        <v>2381</v>
      </c>
      <c r="G37" s="1850" t="s">
        <v>28</v>
      </c>
      <c r="H37" s="1850" t="s">
        <v>28</v>
      </c>
      <c r="I37" s="1850" t="s">
        <v>815</v>
      </c>
    </row>
    <row customHeight="1" ht="11.25">
      <c r="A38" s="1850" t="s">
        <v>2249</v>
      </c>
      <c r="B38" s="1850" t="s">
        <v>16</v>
      </c>
      <c r="C38" s="1850" t="s">
        <v>2387</v>
      </c>
      <c r="D38" s="1850" t="s">
        <v>2388</v>
      </c>
      <c r="E38" s="1850" t="s">
        <v>2389</v>
      </c>
      <c r="F38" s="1850" t="s">
        <v>2343</v>
      </c>
      <c r="G38" s="1850" t="s">
        <v>28</v>
      </c>
      <c r="H38" s="1850" t="s">
        <v>28</v>
      </c>
      <c r="I38" s="1850" t="s">
        <v>815</v>
      </c>
    </row>
    <row customHeight="1" ht="11.25">
      <c r="A39" s="1850" t="s">
        <v>2249</v>
      </c>
      <c r="B39" s="1850" t="s">
        <v>16</v>
      </c>
      <c r="C39" s="1850" t="s">
        <v>2390</v>
      </c>
      <c r="D39" s="1850" t="s">
        <v>2391</v>
      </c>
      <c r="E39" s="1850" t="s">
        <v>2392</v>
      </c>
      <c r="F39" s="1850" t="s">
        <v>2253</v>
      </c>
      <c r="G39" s="1850" t="s">
        <v>28</v>
      </c>
      <c r="H39" s="1850" t="s">
        <v>28</v>
      </c>
      <c r="I39" s="1850" t="s">
        <v>815</v>
      </c>
    </row>
    <row customHeight="1" ht="11.25">
      <c r="A40" s="1850" t="s">
        <v>2249</v>
      </c>
      <c r="B40" s="1850" t="s">
        <v>16</v>
      </c>
      <c r="C40" s="1850" t="s">
        <v>2393</v>
      </c>
      <c r="D40" s="1850" t="s">
        <v>2394</v>
      </c>
      <c r="E40" s="1850" t="s">
        <v>2395</v>
      </c>
      <c r="F40" s="1850" t="s">
        <v>2396</v>
      </c>
      <c r="G40" s="1850" t="s">
        <v>2397</v>
      </c>
      <c r="H40" s="1850" t="s">
        <v>28</v>
      </c>
      <c r="I40" s="1850" t="s">
        <v>815</v>
      </c>
    </row>
    <row customHeight="1" ht="11.25">
      <c r="A41" s="1850" t="s">
        <v>2249</v>
      </c>
      <c r="B41" s="1850" t="s">
        <v>16</v>
      </c>
      <c r="C41" s="1850" t="s">
        <v>2398</v>
      </c>
      <c r="D41" s="1850" t="s">
        <v>2399</v>
      </c>
      <c r="E41" s="1850" t="s">
        <v>2400</v>
      </c>
      <c r="F41" s="1850" t="s">
        <v>2401</v>
      </c>
      <c r="G41" s="1850" t="s">
        <v>28</v>
      </c>
      <c r="H41" s="1850" t="s">
        <v>28</v>
      </c>
      <c r="I41" s="1850" t="s">
        <v>815</v>
      </c>
    </row>
    <row customHeight="1" ht="11.25">
      <c r="A42" s="1850" t="s">
        <v>2249</v>
      </c>
      <c r="B42" s="1850" t="s">
        <v>16</v>
      </c>
      <c r="C42" s="1850" t="s">
        <v>2402</v>
      </c>
      <c r="D42" s="1850" t="s">
        <v>2403</v>
      </c>
      <c r="E42" s="1850" t="s">
        <v>2404</v>
      </c>
      <c r="F42" s="1850" t="s">
        <v>2343</v>
      </c>
      <c r="G42" s="1850" t="s">
        <v>28</v>
      </c>
      <c r="H42" s="1850" t="s">
        <v>28</v>
      </c>
      <c r="I42" s="1850" t="s">
        <v>815</v>
      </c>
    </row>
    <row customHeight="1" ht="11.25">
      <c r="A43" s="1850" t="s">
        <v>2249</v>
      </c>
      <c r="B43" s="1850" t="s">
        <v>16</v>
      </c>
      <c r="C43" s="1850" t="s">
        <v>2405</v>
      </c>
      <c r="D43" s="1850" t="s">
        <v>2406</v>
      </c>
      <c r="E43" s="1850" t="s">
        <v>2407</v>
      </c>
      <c r="F43" s="1850" t="s">
        <v>2408</v>
      </c>
      <c r="G43" s="1850" t="s">
        <v>28</v>
      </c>
      <c r="H43" s="1850" t="s">
        <v>28</v>
      </c>
      <c r="I43" s="1850" t="s">
        <v>815</v>
      </c>
    </row>
    <row customHeight="1" ht="11.25">
      <c r="A44" s="1850" t="s">
        <v>2249</v>
      </c>
      <c r="B44" s="1850" t="s">
        <v>16</v>
      </c>
      <c r="C44" s="1850" t="s">
        <v>2409</v>
      </c>
      <c r="D44" s="1850" t="s">
        <v>2410</v>
      </c>
      <c r="E44" s="1850" t="s">
        <v>2411</v>
      </c>
      <c r="F44" s="1850" t="s">
        <v>2343</v>
      </c>
      <c r="G44" s="1850" t="s">
        <v>28</v>
      </c>
      <c r="H44" s="1850" t="s">
        <v>28</v>
      </c>
      <c r="I44" s="1850" t="s">
        <v>815</v>
      </c>
    </row>
    <row customHeight="1" ht="11.25">
      <c r="A45" s="1850" t="s">
        <v>2249</v>
      </c>
      <c r="B45" s="1850" t="s">
        <v>16</v>
      </c>
      <c r="C45" s="1850" t="s">
        <v>2412</v>
      </c>
      <c r="D45" s="1850" t="s">
        <v>2413</v>
      </c>
      <c r="E45" s="1850" t="s">
        <v>2414</v>
      </c>
      <c r="F45" s="1850" t="s">
        <v>2343</v>
      </c>
      <c r="G45" s="1850" t="s">
        <v>2415</v>
      </c>
      <c r="H45" s="1850" t="s">
        <v>28</v>
      </c>
      <c r="I45" s="1850" t="s">
        <v>815</v>
      </c>
    </row>
    <row customHeight="1" ht="11.25">
      <c r="A46" s="1850" t="s">
        <v>2249</v>
      </c>
      <c r="B46" s="1850" t="s">
        <v>16</v>
      </c>
      <c r="C46" s="1850" t="s">
        <v>2416</v>
      </c>
      <c r="D46" s="1850" t="s">
        <v>2417</v>
      </c>
      <c r="E46" s="1850" t="s">
        <v>2418</v>
      </c>
      <c r="F46" s="1850" t="s">
        <v>2356</v>
      </c>
      <c r="G46" s="1850" t="s">
        <v>28</v>
      </c>
      <c r="H46" s="1850" t="s">
        <v>2419</v>
      </c>
      <c r="I46" s="1850" t="s">
        <v>815</v>
      </c>
    </row>
    <row customHeight="1" ht="11.25">
      <c r="A47" s="1850" t="s">
        <v>2249</v>
      </c>
      <c r="B47" s="1850" t="s">
        <v>16</v>
      </c>
      <c r="C47" s="1850" t="s">
        <v>2420</v>
      </c>
      <c r="D47" s="1850" t="s">
        <v>2421</v>
      </c>
      <c r="E47" s="1850" t="s">
        <v>2422</v>
      </c>
      <c r="F47" s="1850" t="s">
        <v>2343</v>
      </c>
      <c r="G47" s="1850" t="s">
        <v>28</v>
      </c>
      <c r="H47" s="1850" t="s">
        <v>28</v>
      </c>
      <c r="I47" s="1850" t="s">
        <v>815</v>
      </c>
    </row>
    <row customHeight="1" ht="11.25">
      <c r="A48" s="1850" t="s">
        <v>2249</v>
      </c>
      <c r="B48" s="1850" t="s">
        <v>16</v>
      </c>
      <c r="C48" s="1850" t="s">
        <v>2423</v>
      </c>
      <c r="D48" s="1850" t="s">
        <v>2424</v>
      </c>
      <c r="E48" s="1850" t="s">
        <v>2425</v>
      </c>
      <c r="F48" s="1850" t="s">
        <v>2426</v>
      </c>
      <c r="G48" s="1850" t="s">
        <v>28</v>
      </c>
      <c r="H48" s="1850" t="s">
        <v>28</v>
      </c>
      <c r="I48" s="1850" t="s">
        <v>815</v>
      </c>
    </row>
    <row customHeight="1" ht="11.25">
      <c r="A49" s="1850" t="s">
        <v>2249</v>
      </c>
      <c r="B49" s="1850" t="s">
        <v>16</v>
      </c>
      <c r="C49" s="1850" t="s">
        <v>2427</v>
      </c>
      <c r="D49" s="1850" t="s">
        <v>2428</v>
      </c>
      <c r="E49" s="1850" t="s">
        <v>2429</v>
      </c>
      <c r="F49" s="1850" t="s">
        <v>2343</v>
      </c>
      <c r="G49" s="1850" t="s">
        <v>28</v>
      </c>
      <c r="H49" s="1850" t="s">
        <v>28</v>
      </c>
      <c r="I49" s="1850" t="s">
        <v>815</v>
      </c>
    </row>
    <row customHeight="1" ht="11.25">
      <c r="A50" s="1850" t="s">
        <v>2249</v>
      </c>
      <c r="B50" s="1850" t="s">
        <v>16</v>
      </c>
      <c r="C50" s="1850" t="s">
        <v>2430</v>
      </c>
      <c r="D50" s="1850" t="s">
        <v>2431</v>
      </c>
      <c r="E50" s="1850" t="s">
        <v>2432</v>
      </c>
      <c r="F50" s="1850" t="s">
        <v>2433</v>
      </c>
      <c r="G50" s="1850" t="s">
        <v>2434</v>
      </c>
      <c r="H50" s="1850" t="s">
        <v>28</v>
      </c>
      <c r="I50" s="1850" t="s">
        <v>815</v>
      </c>
    </row>
    <row customHeight="1" ht="11.25">
      <c r="A51" s="1850" t="s">
        <v>2249</v>
      </c>
      <c r="B51" s="1850" t="s">
        <v>16</v>
      </c>
      <c r="C51" s="1850" t="s">
        <v>2435</v>
      </c>
      <c r="D51" s="1850" t="s">
        <v>2436</v>
      </c>
      <c r="E51" s="1850" t="s">
        <v>2437</v>
      </c>
      <c r="F51" s="1850" t="s">
        <v>55</v>
      </c>
      <c r="G51" s="1850" t="s">
        <v>28</v>
      </c>
      <c r="H51" s="1850" t="s">
        <v>28</v>
      </c>
      <c r="I51" s="1850" t="s">
        <v>815</v>
      </c>
    </row>
    <row customHeight="1" ht="11.25">
      <c r="A52" s="1850" t="s">
        <v>2249</v>
      </c>
      <c r="B52" s="1850" t="s">
        <v>16</v>
      </c>
      <c r="C52" s="1850" t="s">
        <v>2438</v>
      </c>
      <c r="D52" s="1850" t="s">
        <v>2439</v>
      </c>
      <c r="E52" s="1850" t="s">
        <v>2440</v>
      </c>
      <c r="F52" s="1850" t="s">
        <v>55</v>
      </c>
      <c r="G52" s="1850" t="s">
        <v>28</v>
      </c>
      <c r="H52" s="1850" t="s">
        <v>28</v>
      </c>
      <c r="I52" s="1850" t="s">
        <v>815</v>
      </c>
    </row>
    <row customHeight="1" ht="11.25">
      <c r="A53" s="1850" t="s">
        <v>2249</v>
      </c>
      <c r="B53" s="1850" t="s">
        <v>16</v>
      </c>
      <c r="C53" s="1850" t="s">
        <v>2441</v>
      </c>
      <c r="D53" s="1850" t="s">
        <v>2442</v>
      </c>
      <c r="E53" s="1850" t="s">
        <v>2443</v>
      </c>
      <c r="F53" s="1850" t="s">
        <v>2444</v>
      </c>
      <c r="G53" s="1850" t="s">
        <v>28</v>
      </c>
      <c r="H53" s="1850" t="s">
        <v>28</v>
      </c>
      <c r="I53" s="1850" t="s">
        <v>815</v>
      </c>
    </row>
    <row customHeight="1" ht="11.25">
      <c r="A54" s="1850" t="s">
        <v>2249</v>
      </c>
      <c r="B54" s="1850" t="s">
        <v>16</v>
      </c>
      <c r="C54" s="1850" t="s">
        <v>2445</v>
      </c>
      <c r="D54" s="1850" t="s">
        <v>2446</v>
      </c>
      <c r="E54" s="1850" t="s">
        <v>2447</v>
      </c>
      <c r="F54" s="1850" t="s">
        <v>2448</v>
      </c>
      <c r="G54" s="1850" t="s">
        <v>2449</v>
      </c>
      <c r="H54" s="1850" t="s">
        <v>28</v>
      </c>
      <c r="I54" s="1850" t="s">
        <v>815</v>
      </c>
    </row>
    <row customHeight="1" ht="11.25">
      <c r="A55" s="1850" t="s">
        <v>2249</v>
      </c>
      <c r="B55" s="1850" t="s">
        <v>16</v>
      </c>
      <c r="C55" s="1850" t="s">
        <v>2450</v>
      </c>
      <c r="D55" s="1850" t="s">
        <v>2451</v>
      </c>
      <c r="E55" s="1850" t="s">
        <v>2452</v>
      </c>
      <c r="F55" s="1850" t="s">
        <v>55</v>
      </c>
      <c r="G55" s="1850" t="s">
        <v>2453</v>
      </c>
      <c r="H55" s="1850" t="s">
        <v>28</v>
      </c>
      <c r="I55" s="1850" t="s">
        <v>815</v>
      </c>
    </row>
    <row customHeight="1" ht="11.25">
      <c r="A56" s="1850" t="s">
        <v>2249</v>
      </c>
      <c r="B56" s="1850" t="s">
        <v>16</v>
      </c>
      <c r="C56" s="1850" t="s">
        <v>2454</v>
      </c>
      <c r="D56" s="1850" t="s">
        <v>2455</v>
      </c>
      <c r="E56" s="1850" t="s">
        <v>2456</v>
      </c>
      <c r="F56" s="1850" t="s">
        <v>2257</v>
      </c>
      <c r="G56" s="1850" t="s">
        <v>28</v>
      </c>
      <c r="H56" s="1850" t="s">
        <v>28</v>
      </c>
      <c r="I56" s="1850" t="s">
        <v>815</v>
      </c>
    </row>
    <row customHeight="1" ht="11.25">
      <c r="A57" s="1850" t="s">
        <v>2249</v>
      </c>
      <c r="B57" s="1850" t="s">
        <v>16</v>
      </c>
      <c r="C57" s="1850" t="s">
        <v>2457</v>
      </c>
      <c r="D57" s="1850" t="s">
        <v>2458</v>
      </c>
      <c r="E57" s="1850" t="s">
        <v>2459</v>
      </c>
      <c r="F57" s="1850" t="s">
        <v>2257</v>
      </c>
      <c r="G57" s="1850" t="s">
        <v>2460</v>
      </c>
      <c r="H57" s="1850" t="s">
        <v>28</v>
      </c>
      <c r="I57" s="1850" t="s">
        <v>815</v>
      </c>
    </row>
    <row customHeight="1" ht="11.25">
      <c r="A58" s="1850" t="s">
        <v>2249</v>
      </c>
      <c r="B58" s="1850" t="s">
        <v>16</v>
      </c>
      <c r="C58" s="1850" t="s">
        <v>2461</v>
      </c>
      <c r="D58" s="1850" t="s">
        <v>2462</v>
      </c>
      <c r="E58" s="1850" t="s">
        <v>2463</v>
      </c>
      <c r="F58" s="1850" t="s">
        <v>2464</v>
      </c>
      <c r="G58" s="1850" t="s">
        <v>28</v>
      </c>
      <c r="H58" s="1850" t="s">
        <v>28</v>
      </c>
      <c r="I58" s="1850" t="s">
        <v>815</v>
      </c>
    </row>
    <row customHeight="1" ht="11.25">
      <c r="A59" s="1850" t="s">
        <v>2249</v>
      </c>
      <c r="B59" s="1850" t="s">
        <v>16</v>
      </c>
      <c r="C59" s="1850" t="s">
        <v>2465</v>
      </c>
      <c r="D59" s="1850" t="s">
        <v>2466</v>
      </c>
      <c r="E59" s="1850" t="s">
        <v>2467</v>
      </c>
      <c r="F59" s="1850" t="s">
        <v>2464</v>
      </c>
      <c r="G59" s="1850" t="s">
        <v>2468</v>
      </c>
      <c r="H59" s="1850" t="s">
        <v>2469</v>
      </c>
      <c r="I59" s="1850" t="s">
        <v>815</v>
      </c>
    </row>
    <row customHeight="1" ht="11.25">
      <c r="A60" s="1850" t="s">
        <v>2249</v>
      </c>
      <c r="B60" s="1850" t="s">
        <v>16</v>
      </c>
      <c r="C60" s="1850" t="s">
        <v>2470</v>
      </c>
      <c r="D60" s="1850" t="s">
        <v>2471</v>
      </c>
      <c r="E60" s="1850" t="s">
        <v>2472</v>
      </c>
      <c r="F60" s="1850" t="s">
        <v>2322</v>
      </c>
      <c r="G60" s="1850" t="s">
        <v>28</v>
      </c>
      <c r="H60" s="1850" t="s">
        <v>28</v>
      </c>
      <c r="I60" s="1850" t="s">
        <v>815</v>
      </c>
    </row>
    <row customHeight="1" ht="11.25">
      <c r="A61" s="1850" t="s">
        <v>2249</v>
      </c>
      <c r="B61" s="1850" t="s">
        <v>16</v>
      </c>
      <c r="C61" s="1850" t="s">
        <v>2473</v>
      </c>
      <c r="D61" s="1850" t="s">
        <v>2474</v>
      </c>
      <c r="E61" s="1850" t="s">
        <v>2475</v>
      </c>
      <c r="F61" s="1850" t="s">
        <v>55</v>
      </c>
      <c r="G61" s="1850" t="s">
        <v>28</v>
      </c>
      <c r="H61" s="1850" t="s">
        <v>28</v>
      </c>
      <c r="I61" s="1850" t="s">
        <v>815</v>
      </c>
    </row>
    <row customHeight="1" ht="11.25">
      <c r="A62" s="1850" t="s">
        <v>2249</v>
      </c>
      <c r="B62" s="1850" t="s">
        <v>16</v>
      </c>
      <c r="C62" s="1850" t="s">
        <v>2476</v>
      </c>
      <c r="D62" s="1850" t="s">
        <v>2477</v>
      </c>
      <c r="E62" s="1850" t="s">
        <v>2478</v>
      </c>
      <c r="F62" s="1850" t="s">
        <v>2253</v>
      </c>
      <c r="G62" s="1850" t="s">
        <v>28</v>
      </c>
      <c r="H62" s="1850" t="s">
        <v>28</v>
      </c>
      <c r="I62" s="1850" t="s">
        <v>815</v>
      </c>
    </row>
    <row customHeight="1" ht="11.25">
      <c r="A63" s="1850" t="s">
        <v>2249</v>
      </c>
      <c r="B63" s="1850" t="s">
        <v>16</v>
      </c>
      <c r="C63" s="1850" t="s">
        <v>2479</v>
      </c>
      <c r="D63" s="1850" t="s">
        <v>2480</v>
      </c>
      <c r="E63" s="1850" t="s">
        <v>2481</v>
      </c>
      <c r="F63" s="1850" t="s">
        <v>2482</v>
      </c>
      <c r="G63" s="1850" t="s">
        <v>28</v>
      </c>
      <c r="H63" s="1850" t="s">
        <v>28</v>
      </c>
      <c r="I63" s="1850" t="s">
        <v>815</v>
      </c>
    </row>
    <row customHeight="1" ht="11.25">
      <c r="A64" s="1850" t="s">
        <v>2249</v>
      </c>
      <c r="B64" s="1850" t="s">
        <v>16</v>
      </c>
      <c r="C64" s="1850" t="s">
        <v>2483</v>
      </c>
      <c r="D64" s="1850" t="s">
        <v>2484</v>
      </c>
      <c r="E64" s="1850" t="s">
        <v>2485</v>
      </c>
      <c r="F64" s="1850" t="s">
        <v>2486</v>
      </c>
      <c r="G64" s="1850" t="s">
        <v>28</v>
      </c>
      <c r="H64" s="1850" t="s">
        <v>28</v>
      </c>
      <c r="I64" s="1850" t="s">
        <v>815</v>
      </c>
    </row>
    <row customHeight="1" ht="11.25">
      <c r="A65" s="1850" t="s">
        <v>2249</v>
      </c>
      <c r="B65" s="1850" t="s">
        <v>16</v>
      </c>
      <c r="C65" s="1850" t="s">
        <v>2487</v>
      </c>
      <c r="D65" s="1850" t="s">
        <v>2488</v>
      </c>
      <c r="E65" s="1850" t="s">
        <v>2489</v>
      </c>
      <c r="F65" s="1850" t="s">
        <v>55</v>
      </c>
      <c r="G65" s="1850" t="s">
        <v>28</v>
      </c>
      <c r="H65" s="1850" t="s">
        <v>28</v>
      </c>
      <c r="I65" s="1850" t="s">
        <v>815</v>
      </c>
    </row>
    <row customHeight="1" ht="11.25">
      <c r="A66" s="1850" t="s">
        <v>2249</v>
      </c>
      <c r="B66" s="1850" t="s">
        <v>16</v>
      </c>
      <c r="C66" s="1850" t="s">
        <v>13</v>
      </c>
      <c r="D66" s="1850" t="s">
        <v>50</v>
      </c>
      <c r="E66" s="1850" t="s">
        <v>53</v>
      </c>
      <c r="F66" s="1850" t="s">
        <v>55</v>
      </c>
      <c r="G66" s="1850" t="s">
        <v>28</v>
      </c>
      <c r="H66" s="1850" t="s">
        <v>28</v>
      </c>
      <c r="I66" s="1850" t="s">
        <v>815</v>
      </c>
    </row>
    <row customHeight="1" ht="11.25">
      <c r="A67" s="1850" t="s">
        <v>2249</v>
      </c>
      <c r="B67" s="1850" t="s">
        <v>16</v>
      </c>
      <c r="C67" s="1850" t="s">
        <v>2490</v>
      </c>
      <c r="D67" s="1850" t="s">
        <v>2491</v>
      </c>
      <c r="E67" s="1850" t="s">
        <v>2492</v>
      </c>
      <c r="F67" s="1850" t="s">
        <v>2493</v>
      </c>
      <c r="G67" s="1850" t="s">
        <v>28</v>
      </c>
      <c r="H67" s="1850" t="s">
        <v>28</v>
      </c>
      <c r="I67" s="1850" t="s">
        <v>815</v>
      </c>
    </row>
    <row customHeight="1" ht="11.25">
      <c r="A68" s="1850" t="s">
        <v>2249</v>
      </c>
      <c r="B68" s="1850" t="s">
        <v>16</v>
      </c>
      <c r="C68" s="1850" t="s">
        <v>2494</v>
      </c>
      <c r="D68" s="1850" t="s">
        <v>2495</v>
      </c>
      <c r="E68" s="1850" t="s">
        <v>2496</v>
      </c>
      <c r="F68" s="1850" t="s">
        <v>55</v>
      </c>
      <c r="G68" s="1850" t="s">
        <v>28</v>
      </c>
      <c r="H68" s="1850" t="s">
        <v>2497</v>
      </c>
      <c r="I68" s="1850" t="s">
        <v>815</v>
      </c>
    </row>
    <row customHeight="1" ht="11.25">
      <c r="A69" s="1850" t="s">
        <v>2249</v>
      </c>
      <c r="B69" s="1850" t="s">
        <v>16</v>
      </c>
      <c r="C69" s="1850" t="s">
        <v>2498</v>
      </c>
      <c r="D69" s="1850" t="s">
        <v>2499</v>
      </c>
      <c r="E69" s="1850" t="s">
        <v>2500</v>
      </c>
      <c r="F69" s="1850" t="s">
        <v>2464</v>
      </c>
      <c r="G69" s="1850" t="s">
        <v>28</v>
      </c>
      <c r="H69" s="1850" t="s">
        <v>28</v>
      </c>
      <c r="I69" s="1850" t="s">
        <v>815</v>
      </c>
    </row>
    <row customHeight="1" ht="11.25">
      <c r="A70" s="1850" t="s">
        <v>2249</v>
      </c>
      <c r="B70" s="1850" t="s">
        <v>16</v>
      </c>
      <c r="C70" s="1850" t="s">
        <v>2501</v>
      </c>
      <c r="D70" s="1850" t="s">
        <v>2502</v>
      </c>
      <c r="E70" s="1850" t="s">
        <v>2503</v>
      </c>
      <c r="F70" s="1850" t="s">
        <v>55</v>
      </c>
      <c r="G70" s="1850" t="s">
        <v>28</v>
      </c>
      <c r="H70" s="1850" t="s">
        <v>28</v>
      </c>
      <c r="I70" s="1850" t="s">
        <v>815</v>
      </c>
    </row>
    <row customHeight="1" ht="11.25">
      <c r="A71" s="1850" t="s">
        <v>2249</v>
      </c>
      <c r="B71" s="1850" t="s">
        <v>16</v>
      </c>
      <c r="C71" s="1850" t="s">
        <v>2504</v>
      </c>
      <c r="D71" s="1850" t="s">
        <v>2505</v>
      </c>
      <c r="E71" s="1850" t="s">
        <v>2506</v>
      </c>
      <c r="F71" s="1850" t="s">
        <v>2507</v>
      </c>
      <c r="G71" s="1850" t="s">
        <v>28</v>
      </c>
      <c r="H71" s="1850" t="s">
        <v>28</v>
      </c>
      <c r="I71" s="1850" t="s">
        <v>815</v>
      </c>
    </row>
    <row customHeight="1" ht="11.25">
      <c r="A72" s="1850" t="s">
        <v>2249</v>
      </c>
      <c r="B72" s="1850" t="s">
        <v>16</v>
      </c>
      <c r="C72" s="1850" t="s">
        <v>2508</v>
      </c>
      <c r="D72" s="1850" t="s">
        <v>2509</v>
      </c>
      <c r="E72" s="1850" t="s">
        <v>2510</v>
      </c>
      <c r="F72" s="1850" t="s">
        <v>2511</v>
      </c>
      <c r="G72" s="1850" t="s">
        <v>28</v>
      </c>
      <c r="H72" s="1850" t="s">
        <v>28</v>
      </c>
      <c r="I72" s="1850" t="s">
        <v>815</v>
      </c>
    </row>
    <row customHeight="1" ht="11.25">
      <c r="A73" s="1850" t="s">
        <v>2249</v>
      </c>
      <c r="B73" s="1850" t="s">
        <v>16</v>
      </c>
      <c r="C73" s="1850" t="s">
        <v>2512</v>
      </c>
      <c r="D73" s="1850" t="s">
        <v>2513</v>
      </c>
      <c r="E73" s="1850" t="s">
        <v>2514</v>
      </c>
      <c r="F73" s="1850" t="s">
        <v>2515</v>
      </c>
      <c r="G73" s="1850" t="s">
        <v>2516</v>
      </c>
      <c r="H73" s="1850" t="s">
        <v>28</v>
      </c>
      <c r="I73" s="1850" t="s">
        <v>815</v>
      </c>
    </row>
    <row customHeight="1" ht="11.25">
      <c r="A74" s="1850" t="s">
        <v>2249</v>
      </c>
      <c r="B74" s="1850" t="s">
        <v>16</v>
      </c>
      <c r="C74" s="1850" t="s">
        <v>2517</v>
      </c>
      <c r="D74" s="1850" t="s">
        <v>2518</v>
      </c>
      <c r="E74" s="1850" t="s">
        <v>2278</v>
      </c>
      <c r="F74" s="1850" t="s">
        <v>2519</v>
      </c>
      <c r="G74" s="1850" t="s">
        <v>28</v>
      </c>
      <c r="H74" s="1850" t="s">
        <v>28</v>
      </c>
      <c r="I74" s="1850" t="s">
        <v>815</v>
      </c>
    </row>
    <row customHeight="1" ht="11.25">
      <c r="A75" s="1850" t="s">
        <v>2249</v>
      </c>
      <c r="B75" s="1850" t="s">
        <v>16</v>
      </c>
      <c r="C75" s="1850" t="s">
        <v>2520</v>
      </c>
      <c r="D75" s="1850" t="s">
        <v>2521</v>
      </c>
      <c r="E75" s="1850" t="s">
        <v>2273</v>
      </c>
      <c r="F75" s="1850" t="s">
        <v>2343</v>
      </c>
      <c r="G75" s="1850" t="s">
        <v>28</v>
      </c>
      <c r="H75" s="1850" t="s">
        <v>28</v>
      </c>
      <c r="I75" s="1850" t="s">
        <v>815</v>
      </c>
    </row>
    <row customHeight="1" ht="11.25">
      <c r="A76" s="1850" t="s">
        <v>2249</v>
      </c>
      <c r="B76" s="1850" t="s">
        <v>16</v>
      </c>
      <c r="C76" s="1850" t="s">
        <v>2522</v>
      </c>
      <c r="D76" s="1850" t="s">
        <v>2523</v>
      </c>
      <c r="E76" s="1850" t="s">
        <v>2524</v>
      </c>
      <c r="F76" s="1850" t="s">
        <v>2448</v>
      </c>
      <c r="G76" s="1850" t="s">
        <v>28</v>
      </c>
      <c r="H76" s="1850" t="s">
        <v>28</v>
      </c>
      <c r="I76" s="1850" t="s">
        <v>815</v>
      </c>
    </row>
    <row customHeight="1" ht="11.25">
      <c r="A77" s="1850" t="s">
        <v>2249</v>
      </c>
      <c r="B77" s="1850" t="s">
        <v>16</v>
      </c>
      <c r="C77" s="1850" t="s">
        <v>2525</v>
      </c>
      <c r="D77" s="1850" t="s">
        <v>2526</v>
      </c>
      <c r="E77" s="1850" t="s">
        <v>2527</v>
      </c>
      <c r="F77" s="1850" t="s">
        <v>2448</v>
      </c>
      <c r="G77" s="1850" t="s">
        <v>28</v>
      </c>
      <c r="H77" s="1850" t="s">
        <v>28</v>
      </c>
      <c r="I77" s="1850" t="s">
        <v>815</v>
      </c>
    </row>
    <row customHeight="1" ht="11.25">
      <c r="A78" s="1850" t="s">
        <v>2249</v>
      </c>
      <c r="B78" s="1850" t="s">
        <v>16</v>
      </c>
      <c r="C78" s="1850" t="s">
        <v>2528</v>
      </c>
      <c r="D78" s="1850" t="s">
        <v>2529</v>
      </c>
      <c r="E78" s="1850" t="s">
        <v>2301</v>
      </c>
      <c r="F78" s="1850" t="s">
        <v>2530</v>
      </c>
      <c r="G78" s="1850" t="s">
        <v>28</v>
      </c>
      <c r="H78" s="1850" t="s">
        <v>28</v>
      </c>
      <c r="I78" s="1850" t="s">
        <v>815</v>
      </c>
    </row>
    <row customHeight="1" ht="11.25">
      <c r="A79" s="1850" t="s">
        <v>2249</v>
      </c>
      <c r="B79" s="1850" t="s">
        <v>16</v>
      </c>
      <c r="C79" s="1850" t="s">
        <v>2531</v>
      </c>
      <c r="D79" s="1850" t="s">
        <v>2532</v>
      </c>
      <c r="E79" s="1850" t="s">
        <v>2282</v>
      </c>
      <c r="F79" s="1850" t="s">
        <v>2315</v>
      </c>
      <c r="G79" s="1850" t="s">
        <v>28</v>
      </c>
      <c r="H79" s="1850" t="s">
        <v>28</v>
      </c>
      <c r="I79" s="1850" t="s">
        <v>815</v>
      </c>
    </row>
    <row customHeight="1" ht="11.25">
      <c r="A80" s="1850" t="s">
        <v>2249</v>
      </c>
      <c r="B80" s="1850" t="s">
        <v>16</v>
      </c>
      <c r="C80" s="1850" t="s">
        <v>2533</v>
      </c>
      <c r="D80" s="1850" t="s">
        <v>2534</v>
      </c>
      <c r="E80" s="1850" t="s">
        <v>2535</v>
      </c>
      <c r="F80" s="1850" t="s">
        <v>2536</v>
      </c>
      <c r="G80" s="1850" t="s">
        <v>28</v>
      </c>
      <c r="H80" s="1850" t="s">
        <v>28</v>
      </c>
      <c r="I80" s="1850" t="s">
        <v>815</v>
      </c>
    </row>
    <row customHeight="1" ht="11.25">
      <c r="A81" s="1850" t="s">
        <v>2249</v>
      </c>
      <c r="B81" s="1850" t="s">
        <v>16</v>
      </c>
      <c r="C81" s="1850" t="s">
        <v>2537</v>
      </c>
      <c r="D81" s="1850" t="s">
        <v>2538</v>
      </c>
      <c r="E81" s="1850" t="s">
        <v>2278</v>
      </c>
      <c r="F81" s="1850" t="s">
        <v>2315</v>
      </c>
      <c r="G81" s="1850" t="s">
        <v>28</v>
      </c>
      <c r="H81" s="1850" t="s">
        <v>28</v>
      </c>
      <c r="I81" s="1850" t="s">
        <v>815</v>
      </c>
    </row>
    <row customHeight="1" ht="11.25">
      <c r="A82" s="1850" t="s">
        <v>2249</v>
      </c>
      <c r="B82" s="1850" t="s">
        <v>16</v>
      </c>
      <c r="C82" s="1850" t="s">
        <v>2254</v>
      </c>
      <c r="D82" s="1850" t="s">
        <v>2255</v>
      </c>
      <c r="E82" s="1850" t="s">
        <v>2256</v>
      </c>
      <c r="F82" s="1850" t="s">
        <v>2257</v>
      </c>
      <c r="G82" s="1850" t="s">
        <v>2258</v>
      </c>
      <c r="H82" s="1850" t="s">
        <v>28</v>
      </c>
      <c r="I82" s="1850" t="s">
        <v>901</v>
      </c>
    </row>
    <row customHeight="1" ht="11.25">
      <c r="A83" s="1850" t="s">
        <v>2249</v>
      </c>
      <c r="B83" s="1850" t="s">
        <v>16</v>
      </c>
      <c r="C83" s="1850" t="s">
        <v>2263</v>
      </c>
      <c r="D83" s="1850" t="s">
        <v>2264</v>
      </c>
      <c r="E83" s="1850" t="s">
        <v>2265</v>
      </c>
      <c r="F83" s="1850" t="s">
        <v>2266</v>
      </c>
      <c r="G83" s="1850" t="s">
        <v>28</v>
      </c>
      <c r="H83" s="1850" t="s">
        <v>28</v>
      </c>
      <c r="I83" s="1850" t="s">
        <v>901</v>
      </c>
    </row>
    <row customHeight="1" ht="11.25">
      <c r="A84" s="1850" t="s">
        <v>2249</v>
      </c>
      <c r="B84" s="1850" t="s">
        <v>16</v>
      </c>
      <c r="C84" s="1850" t="s">
        <v>2280</v>
      </c>
      <c r="D84" s="1850" t="s">
        <v>2281</v>
      </c>
      <c r="E84" s="1850" t="s">
        <v>2282</v>
      </c>
      <c r="F84" s="1850" t="s">
        <v>2283</v>
      </c>
      <c r="G84" s="1850" t="s">
        <v>28</v>
      </c>
      <c r="H84" s="1850" t="s">
        <v>28</v>
      </c>
      <c r="I84" s="1850" t="s">
        <v>901</v>
      </c>
    </row>
    <row customHeight="1" ht="11.25">
      <c r="A85" s="1850" t="s">
        <v>2249</v>
      </c>
      <c r="B85" s="1850" t="s">
        <v>16</v>
      </c>
      <c r="C85" s="1850" t="s">
        <v>2539</v>
      </c>
      <c r="D85" s="1850" t="s">
        <v>2540</v>
      </c>
      <c r="E85" s="1850" t="s">
        <v>2301</v>
      </c>
      <c r="F85" s="1850" t="s">
        <v>2541</v>
      </c>
      <c r="G85" s="1850" t="s">
        <v>2542</v>
      </c>
      <c r="H85" s="1850" t="s">
        <v>28</v>
      </c>
      <c r="I85" s="1850" t="s">
        <v>901</v>
      </c>
    </row>
    <row customHeight="1" ht="11.25">
      <c r="A86" s="1850" t="s">
        <v>2249</v>
      </c>
      <c r="B86" s="1850" t="s">
        <v>16</v>
      </c>
      <c r="C86" s="1850" t="s">
        <v>2306</v>
      </c>
      <c r="D86" s="1850" t="s">
        <v>2307</v>
      </c>
      <c r="E86" s="1850" t="s">
        <v>2308</v>
      </c>
      <c r="F86" s="1850" t="s">
        <v>55</v>
      </c>
      <c r="G86" s="1850" t="s">
        <v>28</v>
      </c>
      <c r="H86" s="1850" t="s">
        <v>28</v>
      </c>
      <c r="I86" s="1850" t="s">
        <v>901</v>
      </c>
    </row>
    <row customHeight="1" ht="11.25">
      <c r="A87" s="1850" t="s">
        <v>2249</v>
      </c>
      <c r="B87" s="1850" t="s">
        <v>16</v>
      </c>
      <c r="C87" s="1850" t="s">
        <v>2309</v>
      </c>
      <c r="D87" s="1850" t="s">
        <v>2310</v>
      </c>
      <c r="E87" s="1850" t="s">
        <v>2311</v>
      </c>
      <c r="F87" s="1850" t="s">
        <v>583</v>
      </c>
      <c r="G87" s="1850" t="s">
        <v>28</v>
      </c>
      <c r="H87" s="1850" t="s">
        <v>28</v>
      </c>
      <c r="I87" s="1850" t="s">
        <v>901</v>
      </c>
    </row>
    <row customHeight="1" ht="11.25">
      <c r="A88" s="1850" t="s">
        <v>2249</v>
      </c>
      <c r="B88" s="1850" t="s">
        <v>16</v>
      </c>
      <c r="C88" s="1850" t="s">
        <v>2312</v>
      </c>
      <c r="D88" s="1850" t="s">
        <v>2313</v>
      </c>
      <c r="E88" s="1850" t="s">
        <v>2314</v>
      </c>
      <c r="F88" s="1850" t="s">
        <v>2315</v>
      </c>
      <c r="G88" s="1850" t="s">
        <v>2316</v>
      </c>
      <c r="H88" s="1850" t="s">
        <v>28</v>
      </c>
      <c r="I88" s="1850" t="s">
        <v>901</v>
      </c>
    </row>
    <row customHeight="1" ht="11.25">
      <c r="A89" s="1850" t="s">
        <v>2249</v>
      </c>
      <c r="B89" s="1850" t="s">
        <v>16</v>
      </c>
      <c r="C89" s="1850" t="s">
        <v>28</v>
      </c>
      <c r="D89" s="1850" t="s">
        <v>2317</v>
      </c>
      <c r="E89" s="1850" t="s">
        <v>2318</v>
      </c>
      <c r="F89" s="1850" t="s">
        <v>55</v>
      </c>
      <c r="G89" s="1850" t="s">
        <v>28</v>
      </c>
      <c r="H89" s="1850" t="s">
        <v>28</v>
      </c>
      <c r="I89" s="1850" t="s">
        <v>901</v>
      </c>
    </row>
    <row customHeight="1" ht="11.25">
      <c r="A90" s="1850" t="s">
        <v>2249</v>
      </c>
      <c r="B90" s="1850" t="s">
        <v>16</v>
      </c>
      <c r="C90" s="1850" t="s">
        <v>2333</v>
      </c>
      <c r="D90" s="1850" t="s">
        <v>2334</v>
      </c>
      <c r="E90" s="1850" t="s">
        <v>2335</v>
      </c>
      <c r="F90" s="1850" t="s">
        <v>2336</v>
      </c>
      <c r="G90" s="1850" t="s">
        <v>28</v>
      </c>
      <c r="H90" s="1850" t="s">
        <v>28</v>
      </c>
      <c r="I90" s="1850" t="s">
        <v>901</v>
      </c>
    </row>
    <row customHeight="1" ht="11.25">
      <c r="A91" s="1850" t="s">
        <v>2249</v>
      </c>
      <c r="B91" s="1850" t="s">
        <v>16</v>
      </c>
      <c r="C91" s="1850" t="s">
        <v>2337</v>
      </c>
      <c r="D91" s="1850" t="s">
        <v>2338</v>
      </c>
      <c r="E91" s="1850" t="s">
        <v>2339</v>
      </c>
      <c r="F91" s="1850" t="s">
        <v>55</v>
      </c>
      <c r="G91" s="1850" t="s">
        <v>28</v>
      </c>
      <c r="H91" s="1850" t="s">
        <v>28</v>
      </c>
      <c r="I91" s="1850" t="s">
        <v>901</v>
      </c>
    </row>
    <row customHeight="1" ht="11.25">
      <c r="A92" s="1850" t="s">
        <v>2249</v>
      </c>
      <c r="B92" s="1850" t="s">
        <v>16</v>
      </c>
      <c r="C92" s="1850" t="s">
        <v>2340</v>
      </c>
      <c r="D92" s="1850" t="s">
        <v>2341</v>
      </c>
      <c r="E92" s="1850" t="s">
        <v>2342</v>
      </c>
      <c r="F92" s="1850" t="s">
        <v>2343</v>
      </c>
      <c r="G92" s="1850" t="s">
        <v>28</v>
      </c>
      <c r="H92" s="1850" t="s">
        <v>28</v>
      </c>
      <c r="I92" s="1850" t="s">
        <v>901</v>
      </c>
    </row>
    <row customHeight="1" ht="11.25">
      <c r="A93" s="1850" t="s">
        <v>2249</v>
      </c>
      <c r="B93" s="1850" t="s">
        <v>16</v>
      </c>
      <c r="C93" s="1850" t="s">
        <v>2344</v>
      </c>
      <c r="D93" s="1850" t="s">
        <v>2345</v>
      </c>
      <c r="E93" s="1850" t="s">
        <v>2346</v>
      </c>
      <c r="F93" s="1850" t="s">
        <v>2336</v>
      </c>
      <c r="G93" s="1850" t="s">
        <v>28</v>
      </c>
      <c r="H93" s="1850" t="s">
        <v>28</v>
      </c>
      <c r="I93" s="1850" t="s">
        <v>901</v>
      </c>
    </row>
    <row customHeight="1" ht="11.25">
      <c r="A94" s="1850" t="s">
        <v>2249</v>
      </c>
      <c r="B94" s="1850" t="s">
        <v>16</v>
      </c>
      <c r="C94" s="1850" t="s">
        <v>2350</v>
      </c>
      <c r="D94" s="1850" t="s">
        <v>2351</v>
      </c>
      <c r="E94" s="1850" t="s">
        <v>2352</v>
      </c>
      <c r="F94" s="1850" t="s">
        <v>2343</v>
      </c>
      <c r="G94" s="1850" t="s">
        <v>28</v>
      </c>
      <c r="H94" s="1850" t="s">
        <v>28</v>
      </c>
      <c r="I94" s="1850" t="s">
        <v>901</v>
      </c>
    </row>
    <row customHeight="1" ht="11.25">
      <c r="A95" s="1850" t="s">
        <v>2249</v>
      </c>
      <c r="B95" s="1850" t="s">
        <v>16</v>
      </c>
      <c r="C95" s="1850" t="s">
        <v>2367</v>
      </c>
      <c r="D95" s="1850" t="s">
        <v>2368</v>
      </c>
      <c r="E95" s="1850" t="s">
        <v>2369</v>
      </c>
      <c r="F95" s="1850" t="s">
        <v>2257</v>
      </c>
      <c r="G95" s="1850" t="s">
        <v>28</v>
      </c>
      <c r="H95" s="1850" t="s">
        <v>28</v>
      </c>
      <c r="I95" s="1850" t="s">
        <v>901</v>
      </c>
    </row>
    <row customHeight="1" ht="11.25">
      <c r="A96" s="1850" t="s">
        <v>2249</v>
      </c>
      <c r="B96" s="1850" t="s">
        <v>16</v>
      </c>
      <c r="C96" s="1850" t="s">
        <v>2370</v>
      </c>
      <c r="D96" s="1850" t="s">
        <v>2371</v>
      </c>
      <c r="E96" s="1850" t="s">
        <v>2372</v>
      </c>
      <c r="F96" s="1850" t="s">
        <v>2373</v>
      </c>
      <c r="G96" s="1850" t="s">
        <v>28</v>
      </c>
      <c r="H96" s="1850" t="s">
        <v>28</v>
      </c>
      <c r="I96" s="1850" t="s">
        <v>901</v>
      </c>
    </row>
    <row customHeight="1" ht="11.25">
      <c r="A97" s="1850" t="s">
        <v>2249</v>
      </c>
      <c r="B97" s="1850" t="s">
        <v>16</v>
      </c>
      <c r="C97" s="1850" t="s">
        <v>2387</v>
      </c>
      <c r="D97" s="1850" t="s">
        <v>2388</v>
      </c>
      <c r="E97" s="1850" t="s">
        <v>2389</v>
      </c>
      <c r="F97" s="1850" t="s">
        <v>2343</v>
      </c>
      <c r="G97" s="1850" t="s">
        <v>28</v>
      </c>
      <c r="H97" s="1850" t="s">
        <v>28</v>
      </c>
      <c r="I97" s="1850" t="s">
        <v>901</v>
      </c>
    </row>
    <row customHeight="1" ht="11.25">
      <c r="A98" s="1850" t="s">
        <v>2249</v>
      </c>
      <c r="B98" s="1850" t="s">
        <v>16</v>
      </c>
      <c r="C98" s="1850" t="s">
        <v>2393</v>
      </c>
      <c r="D98" s="1850" t="s">
        <v>2394</v>
      </c>
      <c r="E98" s="1850" t="s">
        <v>2395</v>
      </c>
      <c r="F98" s="1850" t="s">
        <v>2396</v>
      </c>
      <c r="G98" s="1850" t="s">
        <v>2397</v>
      </c>
      <c r="H98" s="1850" t="s">
        <v>28</v>
      </c>
      <c r="I98" s="1850" t="s">
        <v>901</v>
      </c>
    </row>
    <row customHeight="1" ht="11.25">
      <c r="A99" s="1850" t="s">
        <v>2249</v>
      </c>
      <c r="B99" s="1850" t="s">
        <v>16</v>
      </c>
      <c r="C99" s="1850" t="s">
        <v>2398</v>
      </c>
      <c r="D99" s="1850" t="s">
        <v>2399</v>
      </c>
      <c r="E99" s="1850" t="s">
        <v>2400</v>
      </c>
      <c r="F99" s="1850" t="s">
        <v>2401</v>
      </c>
      <c r="G99" s="1850" t="s">
        <v>28</v>
      </c>
      <c r="H99" s="1850" t="s">
        <v>28</v>
      </c>
      <c r="I99" s="1850" t="s">
        <v>901</v>
      </c>
    </row>
    <row customHeight="1" ht="11.25">
      <c r="A100" s="1850" t="s">
        <v>2249</v>
      </c>
      <c r="B100" s="1850" t="s">
        <v>16</v>
      </c>
      <c r="C100" s="1850" t="s">
        <v>2402</v>
      </c>
      <c r="D100" s="1850" t="s">
        <v>2403</v>
      </c>
      <c r="E100" s="1850" t="s">
        <v>2404</v>
      </c>
      <c r="F100" s="1850" t="s">
        <v>2343</v>
      </c>
      <c r="G100" s="1850" t="s">
        <v>28</v>
      </c>
      <c r="H100" s="1850" t="s">
        <v>28</v>
      </c>
      <c r="I100" s="1850" t="s">
        <v>901</v>
      </c>
    </row>
    <row customHeight="1" ht="11.25">
      <c r="A101" s="1850" t="s">
        <v>2249</v>
      </c>
      <c r="B101" s="1850" t="s">
        <v>16</v>
      </c>
      <c r="C101" s="1850" t="s">
        <v>2409</v>
      </c>
      <c r="D101" s="1850" t="s">
        <v>2410</v>
      </c>
      <c r="E101" s="1850" t="s">
        <v>2411</v>
      </c>
      <c r="F101" s="1850" t="s">
        <v>2343</v>
      </c>
      <c r="G101" s="1850" t="s">
        <v>28</v>
      </c>
      <c r="H101" s="1850" t="s">
        <v>28</v>
      </c>
      <c r="I101" s="1850" t="s">
        <v>901</v>
      </c>
    </row>
    <row customHeight="1" ht="11.25">
      <c r="A102" s="1850" t="s">
        <v>2249</v>
      </c>
      <c r="B102" s="1850" t="s">
        <v>16</v>
      </c>
      <c r="C102" s="1850" t="s">
        <v>2412</v>
      </c>
      <c r="D102" s="1850" t="s">
        <v>2413</v>
      </c>
      <c r="E102" s="1850" t="s">
        <v>2414</v>
      </c>
      <c r="F102" s="1850" t="s">
        <v>2343</v>
      </c>
      <c r="G102" s="1850" t="s">
        <v>2415</v>
      </c>
      <c r="H102" s="1850" t="s">
        <v>28</v>
      </c>
      <c r="I102" s="1850" t="s">
        <v>901</v>
      </c>
    </row>
    <row customHeight="1" ht="11.25">
      <c r="A103" s="1850" t="s">
        <v>2249</v>
      </c>
      <c r="B103" s="1850" t="s">
        <v>16</v>
      </c>
      <c r="C103" s="1850" t="s">
        <v>2423</v>
      </c>
      <c r="D103" s="1850" t="s">
        <v>2424</v>
      </c>
      <c r="E103" s="1850" t="s">
        <v>2425</v>
      </c>
      <c r="F103" s="1850" t="s">
        <v>2426</v>
      </c>
      <c r="G103" s="1850" t="s">
        <v>28</v>
      </c>
      <c r="H103" s="1850" t="s">
        <v>28</v>
      </c>
      <c r="I103" s="1850" t="s">
        <v>901</v>
      </c>
    </row>
    <row customHeight="1" ht="11.25">
      <c r="A104" s="1850" t="s">
        <v>2249</v>
      </c>
      <c r="B104" s="1850" t="s">
        <v>16</v>
      </c>
      <c r="C104" s="1850" t="s">
        <v>2427</v>
      </c>
      <c r="D104" s="1850" t="s">
        <v>2428</v>
      </c>
      <c r="E104" s="1850" t="s">
        <v>2429</v>
      </c>
      <c r="F104" s="1850" t="s">
        <v>2343</v>
      </c>
      <c r="G104" s="1850" t="s">
        <v>28</v>
      </c>
      <c r="H104" s="1850" t="s">
        <v>28</v>
      </c>
      <c r="I104" s="1850" t="s">
        <v>901</v>
      </c>
    </row>
    <row customHeight="1" ht="11.25">
      <c r="A105" s="1850" t="s">
        <v>2249</v>
      </c>
      <c r="B105" s="1850" t="s">
        <v>16</v>
      </c>
      <c r="C105" s="1850" t="s">
        <v>2430</v>
      </c>
      <c r="D105" s="1850" t="s">
        <v>2431</v>
      </c>
      <c r="E105" s="1850" t="s">
        <v>2432</v>
      </c>
      <c r="F105" s="1850" t="s">
        <v>2433</v>
      </c>
      <c r="G105" s="1850" t="s">
        <v>2434</v>
      </c>
      <c r="H105" s="1850" t="s">
        <v>28</v>
      </c>
      <c r="I105" s="1850" t="s">
        <v>901</v>
      </c>
    </row>
    <row customHeight="1" ht="11.25">
      <c r="A106" s="1850" t="s">
        <v>2249</v>
      </c>
      <c r="B106" s="1850" t="s">
        <v>16</v>
      </c>
      <c r="C106" s="1850" t="s">
        <v>2441</v>
      </c>
      <c r="D106" s="1850" t="s">
        <v>2442</v>
      </c>
      <c r="E106" s="1850" t="s">
        <v>2443</v>
      </c>
      <c r="F106" s="1850" t="s">
        <v>2444</v>
      </c>
      <c r="G106" s="1850" t="s">
        <v>28</v>
      </c>
      <c r="H106" s="1850" t="s">
        <v>28</v>
      </c>
      <c r="I106" s="1850" t="s">
        <v>901</v>
      </c>
    </row>
    <row customHeight="1" ht="11.25">
      <c r="A107" s="1850" t="s">
        <v>2249</v>
      </c>
      <c r="B107" s="1850" t="s">
        <v>16</v>
      </c>
      <c r="C107" s="1850" t="s">
        <v>2445</v>
      </c>
      <c r="D107" s="1850" t="s">
        <v>2446</v>
      </c>
      <c r="E107" s="1850" t="s">
        <v>2447</v>
      </c>
      <c r="F107" s="1850" t="s">
        <v>2448</v>
      </c>
      <c r="G107" s="1850" t="s">
        <v>2449</v>
      </c>
      <c r="H107" s="1850" t="s">
        <v>28</v>
      </c>
      <c r="I107" s="1850" t="s">
        <v>901</v>
      </c>
    </row>
    <row customHeight="1" ht="11.25">
      <c r="A108" s="1850" t="s">
        <v>2249</v>
      </c>
      <c r="B108" s="1850" t="s">
        <v>16</v>
      </c>
      <c r="C108" s="1850" t="s">
        <v>2454</v>
      </c>
      <c r="D108" s="1850" t="s">
        <v>2455</v>
      </c>
      <c r="E108" s="1850" t="s">
        <v>2456</v>
      </c>
      <c r="F108" s="1850" t="s">
        <v>2257</v>
      </c>
      <c r="G108" s="1850" t="s">
        <v>28</v>
      </c>
      <c r="H108" s="1850" t="s">
        <v>28</v>
      </c>
      <c r="I108" s="1850" t="s">
        <v>901</v>
      </c>
    </row>
    <row customHeight="1" ht="11.25">
      <c r="A109" s="1850" t="s">
        <v>2249</v>
      </c>
      <c r="B109" s="1850" t="s">
        <v>16</v>
      </c>
      <c r="C109" s="1850" t="s">
        <v>2457</v>
      </c>
      <c r="D109" s="1850" t="s">
        <v>2458</v>
      </c>
      <c r="E109" s="1850" t="s">
        <v>2459</v>
      </c>
      <c r="F109" s="1850" t="s">
        <v>2257</v>
      </c>
      <c r="G109" s="1850" t="s">
        <v>2460</v>
      </c>
      <c r="H109" s="1850" t="s">
        <v>28</v>
      </c>
      <c r="I109" s="1850" t="s">
        <v>901</v>
      </c>
    </row>
    <row customHeight="1" ht="11.25">
      <c r="A110" s="1850" t="s">
        <v>2249</v>
      </c>
      <c r="B110" s="1850" t="s">
        <v>16</v>
      </c>
      <c r="C110" s="1850" t="s">
        <v>2473</v>
      </c>
      <c r="D110" s="1850" t="s">
        <v>2474</v>
      </c>
      <c r="E110" s="1850" t="s">
        <v>2475</v>
      </c>
      <c r="F110" s="1850" t="s">
        <v>55</v>
      </c>
      <c r="G110" s="1850" t="s">
        <v>28</v>
      </c>
      <c r="H110" s="1850" t="s">
        <v>28</v>
      </c>
      <c r="I110" s="1850" t="s">
        <v>901</v>
      </c>
    </row>
    <row customHeight="1" ht="11.25">
      <c r="A111" s="1850" t="s">
        <v>2249</v>
      </c>
      <c r="B111" s="1850" t="s">
        <v>16</v>
      </c>
      <c r="C111" s="1850" t="s">
        <v>2490</v>
      </c>
      <c r="D111" s="1850" t="s">
        <v>2491</v>
      </c>
      <c r="E111" s="1850" t="s">
        <v>2492</v>
      </c>
      <c r="F111" s="1850" t="s">
        <v>2493</v>
      </c>
      <c r="G111" s="1850" t="s">
        <v>28</v>
      </c>
      <c r="H111" s="1850" t="s">
        <v>28</v>
      </c>
      <c r="I111" s="1850" t="s">
        <v>901</v>
      </c>
    </row>
    <row customHeight="1" ht="11.25">
      <c r="A112" s="1850" t="s">
        <v>2249</v>
      </c>
      <c r="B112" s="1850" t="s">
        <v>16</v>
      </c>
      <c r="C112" s="1850" t="s">
        <v>2508</v>
      </c>
      <c r="D112" s="1850" t="s">
        <v>2509</v>
      </c>
      <c r="E112" s="1850" t="s">
        <v>2510</v>
      </c>
      <c r="F112" s="1850" t="s">
        <v>2511</v>
      </c>
      <c r="G112" s="1850" t="s">
        <v>28</v>
      </c>
      <c r="H112" s="1850" t="s">
        <v>28</v>
      </c>
      <c r="I112" s="1850" t="s">
        <v>901</v>
      </c>
    </row>
    <row customHeight="1" ht="11.25">
      <c r="A113" s="1850" t="s">
        <v>2249</v>
      </c>
      <c r="B113" s="1850" t="s">
        <v>16</v>
      </c>
      <c r="C113" s="1850" t="s">
        <v>2512</v>
      </c>
      <c r="D113" s="1850" t="s">
        <v>2513</v>
      </c>
      <c r="E113" s="1850" t="s">
        <v>2514</v>
      </c>
      <c r="F113" s="1850" t="s">
        <v>2515</v>
      </c>
      <c r="G113" s="1850" t="s">
        <v>2516</v>
      </c>
      <c r="H113" s="1850" t="s">
        <v>28</v>
      </c>
      <c r="I113" s="1850" t="s">
        <v>901</v>
      </c>
    </row>
    <row customHeight="1" ht="11.25">
      <c r="A114" s="1850" t="s">
        <v>2249</v>
      </c>
      <c r="B114" s="1850" t="s">
        <v>16</v>
      </c>
      <c r="C114" s="1850" t="s">
        <v>2517</v>
      </c>
      <c r="D114" s="1850" t="s">
        <v>2518</v>
      </c>
      <c r="E114" s="1850" t="s">
        <v>2278</v>
      </c>
      <c r="F114" s="1850" t="s">
        <v>2519</v>
      </c>
      <c r="G114" s="1850" t="s">
        <v>28</v>
      </c>
      <c r="H114" s="1850" t="s">
        <v>28</v>
      </c>
      <c r="I114" s="1850" t="s">
        <v>901</v>
      </c>
    </row>
    <row customHeight="1" ht="11.25">
      <c r="A115" s="1850" t="s">
        <v>2249</v>
      </c>
      <c r="B115" s="1850" t="s">
        <v>16</v>
      </c>
      <c r="C115" s="1850" t="s">
        <v>2520</v>
      </c>
      <c r="D115" s="1850" t="s">
        <v>2521</v>
      </c>
      <c r="E115" s="1850" t="s">
        <v>2273</v>
      </c>
      <c r="F115" s="1850" t="s">
        <v>2343</v>
      </c>
      <c r="G115" s="1850" t="s">
        <v>28</v>
      </c>
      <c r="H115" s="1850" t="s">
        <v>28</v>
      </c>
      <c r="I115" s="1850" t="s">
        <v>901</v>
      </c>
    </row>
    <row customHeight="1" ht="11.25">
      <c r="A116" s="1850" t="s">
        <v>2249</v>
      </c>
      <c r="B116" s="1850" t="s">
        <v>16</v>
      </c>
      <c r="C116" s="1850" t="s">
        <v>2525</v>
      </c>
      <c r="D116" s="1850" t="s">
        <v>2526</v>
      </c>
      <c r="E116" s="1850" t="s">
        <v>2527</v>
      </c>
      <c r="F116" s="1850" t="s">
        <v>2448</v>
      </c>
      <c r="G116" s="1850" t="s">
        <v>28</v>
      </c>
      <c r="H116" s="1850" t="s">
        <v>28</v>
      </c>
      <c r="I116" s="1850" t="s">
        <v>901</v>
      </c>
    </row>
    <row customHeight="1" ht="11.25">
      <c r="A117" s="1850" t="s">
        <v>2249</v>
      </c>
      <c r="B117" s="1850" t="s">
        <v>16</v>
      </c>
      <c r="C117" s="1850" t="s">
        <v>2531</v>
      </c>
      <c r="D117" s="1850" t="s">
        <v>2532</v>
      </c>
      <c r="E117" s="1850" t="s">
        <v>2282</v>
      </c>
      <c r="F117" s="1850" t="s">
        <v>2315</v>
      </c>
      <c r="G117" s="1850" t="s">
        <v>28</v>
      </c>
      <c r="H117" s="1850" t="s">
        <v>28</v>
      </c>
      <c r="I117" s="1850" t="s">
        <v>901</v>
      </c>
    </row>
    <row customHeight="1" ht="11.25">
      <c r="A118" s="1850" t="s">
        <v>2249</v>
      </c>
      <c r="B118" s="1850" t="s">
        <v>16</v>
      </c>
      <c r="C118" s="1850" t="s">
        <v>2533</v>
      </c>
      <c r="D118" s="1850" t="s">
        <v>2534</v>
      </c>
      <c r="E118" s="1850" t="s">
        <v>2535</v>
      </c>
      <c r="F118" s="1850" t="s">
        <v>2536</v>
      </c>
      <c r="G118" s="1850" t="s">
        <v>28</v>
      </c>
      <c r="H118" s="1850" t="s">
        <v>28</v>
      </c>
      <c r="I118" s="1850" t="s">
        <v>901</v>
      </c>
    </row>
    <row customHeight="1" ht="11.25">
      <c r="A119" s="1850" t="s">
        <v>2249</v>
      </c>
      <c r="B119" s="1850" t="s">
        <v>16</v>
      </c>
      <c r="C119" s="1850" t="s">
        <v>2537</v>
      </c>
      <c r="D119" s="1850" t="s">
        <v>2538</v>
      </c>
      <c r="E119" s="1850" t="s">
        <v>2278</v>
      </c>
      <c r="F119" s="1850" t="s">
        <v>2315</v>
      </c>
      <c r="G119" s="1850" t="s">
        <v>28</v>
      </c>
      <c r="H119" s="1850" t="s">
        <v>28</v>
      </c>
      <c r="I119" s="1850" t="s">
        <v>901</v>
      </c>
    </row>
    <row customHeight="1" ht="11.25">
      <c r="A120" s="1850" t="s">
        <v>2249</v>
      </c>
      <c r="B120" s="1850" t="s">
        <v>16</v>
      </c>
      <c r="C120" s="1850" t="s">
        <v>2250</v>
      </c>
      <c r="D120" s="1850" t="s">
        <v>2251</v>
      </c>
      <c r="E120" s="1850" t="s">
        <v>2252</v>
      </c>
      <c r="F120" s="1850" t="s">
        <v>2253</v>
      </c>
      <c r="G120" s="1850" t="s">
        <v>28</v>
      </c>
      <c r="H120" s="1850" t="s">
        <v>28</v>
      </c>
      <c r="I120" s="1850" t="s">
        <v>861</v>
      </c>
    </row>
    <row customHeight="1" ht="11.25">
      <c r="A121" s="1850" t="s">
        <v>2249</v>
      </c>
      <c r="B121" s="1850" t="s">
        <v>16</v>
      </c>
      <c r="C121" s="1850" t="s">
        <v>2543</v>
      </c>
      <c r="D121" s="1850" t="s">
        <v>2544</v>
      </c>
      <c r="E121" s="1850" t="s">
        <v>2545</v>
      </c>
      <c r="F121" s="1850" t="s">
        <v>2448</v>
      </c>
      <c r="G121" s="1850" t="s">
        <v>28</v>
      </c>
      <c r="H121" s="1850" t="s">
        <v>28</v>
      </c>
      <c r="I121" s="1850" t="s">
        <v>861</v>
      </c>
    </row>
    <row customHeight="1" ht="11.25">
      <c r="A122" s="1850" t="s">
        <v>2249</v>
      </c>
      <c r="B122" s="1850" t="s">
        <v>16</v>
      </c>
      <c r="C122" s="1850" t="s">
        <v>2546</v>
      </c>
      <c r="D122" s="1850" t="s">
        <v>2547</v>
      </c>
      <c r="E122" s="1850" t="s">
        <v>2548</v>
      </c>
      <c r="F122" s="1850" t="s">
        <v>2482</v>
      </c>
      <c r="G122" s="1850" t="s">
        <v>28</v>
      </c>
      <c r="H122" s="1850" t="s">
        <v>28</v>
      </c>
      <c r="I122" s="1850" t="s">
        <v>861</v>
      </c>
    </row>
    <row customHeight="1" ht="11.25">
      <c r="A123" s="1850" t="s">
        <v>2249</v>
      </c>
      <c r="B123" s="1850" t="s">
        <v>16</v>
      </c>
      <c r="C123" s="1850" t="s">
        <v>2549</v>
      </c>
      <c r="D123" s="1850" t="s">
        <v>2550</v>
      </c>
      <c r="E123" s="1850" t="s">
        <v>2551</v>
      </c>
      <c r="F123" s="1850" t="s">
        <v>2408</v>
      </c>
      <c r="G123" s="1850" t="s">
        <v>2552</v>
      </c>
      <c r="H123" s="1850" t="s">
        <v>2553</v>
      </c>
      <c r="I123" s="1850" t="s">
        <v>861</v>
      </c>
    </row>
    <row customHeight="1" ht="11.25">
      <c r="A124" s="1850" t="s">
        <v>2249</v>
      </c>
      <c r="B124" s="1850" t="s">
        <v>16</v>
      </c>
      <c r="C124" s="1850" t="s">
        <v>2554</v>
      </c>
      <c r="D124" s="1850" t="s">
        <v>2555</v>
      </c>
      <c r="E124" s="1850" t="s">
        <v>2556</v>
      </c>
      <c r="F124" s="1850" t="s">
        <v>2507</v>
      </c>
      <c r="G124" s="1850" t="s">
        <v>28</v>
      </c>
      <c r="H124" s="1850" t="s">
        <v>28</v>
      </c>
      <c r="I124" s="1850" t="s">
        <v>861</v>
      </c>
    </row>
    <row customHeight="1" ht="11.25">
      <c r="A125" s="1850" t="s">
        <v>2249</v>
      </c>
      <c r="B125" s="1850" t="s">
        <v>16</v>
      </c>
      <c r="C125" s="1850" t="s">
        <v>2557</v>
      </c>
      <c r="D125" s="1850" t="s">
        <v>2558</v>
      </c>
      <c r="E125" s="1850" t="s">
        <v>2559</v>
      </c>
      <c r="F125" s="1850" t="s">
        <v>2507</v>
      </c>
      <c r="G125" s="1850" t="s">
        <v>28</v>
      </c>
      <c r="H125" s="1850" t="s">
        <v>2560</v>
      </c>
      <c r="I125" s="1850" t="s">
        <v>861</v>
      </c>
    </row>
    <row customHeight="1" ht="11.25">
      <c r="A126" s="1850" t="s">
        <v>2249</v>
      </c>
      <c r="B126" s="1850" t="s">
        <v>16</v>
      </c>
      <c r="C126" s="1850" t="s">
        <v>2561</v>
      </c>
      <c r="D126" s="1850" t="s">
        <v>2562</v>
      </c>
      <c r="E126" s="1850" t="s">
        <v>2563</v>
      </c>
      <c r="F126" s="1850" t="s">
        <v>2564</v>
      </c>
      <c r="G126" s="1850" t="s">
        <v>28</v>
      </c>
      <c r="H126" s="1850" t="s">
        <v>2565</v>
      </c>
      <c r="I126" s="1850" t="s">
        <v>861</v>
      </c>
    </row>
    <row customHeight="1" ht="11.25">
      <c r="A127" s="1850" t="s">
        <v>2249</v>
      </c>
      <c r="B127" s="1850" t="s">
        <v>16</v>
      </c>
      <c r="C127" s="1850" t="s">
        <v>2566</v>
      </c>
      <c r="D127" s="1850" t="s">
        <v>2567</v>
      </c>
      <c r="E127" s="1850" t="s">
        <v>2568</v>
      </c>
      <c r="F127" s="1850" t="s">
        <v>2507</v>
      </c>
      <c r="G127" s="1850" t="s">
        <v>28</v>
      </c>
      <c r="H127" s="1850" t="s">
        <v>2560</v>
      </c>
      <c r="I127" s="1850" t="s">
        <v>861</v>
      </c>
    </row>
    <row customHeight="1" ht="11.25">
      <c r="A128" s="1850" t="s">
        <v>2249</v>
      </c>
      <c r="B128" s="1850" t="s">
        <v>16</v>
      </c>
      <c r="C128" s="1850" t="s">
        <v>2569</v>
      </c>
      <c r="D128" s="1850" t="s">
        <v>2570</v>
      </c>
      <c r="E128" s="1850" t="s">
        <v>2571</v>
      </c>
      <c r="F128" s="1850" t="s">
        <v>2373</v>
      </c>
      <c r="G128" s="1850" t="s">
        <v>28</v>
      </c>
      <c r="H128" s="1850" t="s">
        <v>2572</v>
      </c>
      <c r="I128" s="1850" t="s">
        <v>861</v>
      </c>
    </row>
    <row customHeight="1" ht="11.25">
      <c r="A129" s="1850" t="s">
        <v>2249</v>
      </c>
      <c r="B129" s="1850" t="s">
        <v>16</v>
      </c>
      <c r="C129" s="1850" t="s">
        <v>2573</v>
      </c>
      <c r="D129" s="1850" t="s">
        <v>2574</v>
      </c>
      <c r="E129" s="1850" t="s">
        <v>2575</v>
      </c>
      <c r="F129" s="1850" t="s">
        <v>2576</v>
      </c>
      <c r="G129" s="1850" t="s">
        <v>28</v>
      </c>
      <c r="H129" s="1850" t="s">
        <v>28</v>
      </c>
      <c r="I129" s="1850" t="s">
        <v>861</v>
      </c>
    </row>
    <row customHeight="1" ht="11.25">
      <c r="A130" s="1850" t="s">
        <v>2249</v>
      </c>
      <c r="B130" s="1850" t="s">
        <v>16</v>
      </c>
      <c r="C130" s="1850" t="s">
        <v>2577</v>
      </c>
      <c r="D130" s="1850" t="s">
        <v>2578</v>
      </c>
      <c r="E130" s="1850" t="s">
        <v>2579</v>
      </c>
      <c r="F130" s="1850" t="s">
        <v>2287</v>
      </c>
      <c r="G130" s="1850" t="s">
        <v>2580</v>
      </c>
      <c r="H130" s="1850" t="s">
        <v>28</v>
      </c>
      <c r="I130" s="1850" t="s">
        <v>861</v>
      </c>
    </row>
    <row customHeight="1" ht="11.25">
      <c r="A131" s="1850" t="s">
        <v>2249</v>
      </c>
      <c r="B131" s="1850" t="s">
        <v>16</v>
      </c>
      <c r="C131" s="1850" t="s">
        <v>2581</v>
      </c>
      <c r="D131" s="1850" t="s">
        <v>2582</v>
      </c>
      <c r="E131" s="1850" t="s">
        <v>2583</v>
      </c>
      <c r="F131" s="1850" t="s">
        <v>2507</v>
      </c>
      <c r="G131" s="1850" t="s">
        <v>28</v>
      </c>
      <c r="H131" s="1850" t="s">
        <v>2560</v>
      </c>
      <c r="I131" s="1850" t="s">
        <v>861</v>
      </c>
    </row>
    <row customHeight="1" ht="11.25">
      <c r="A132" s="1850" t="s">
        <v>2249</v>
      </c>
      <c r="B132" s="1850" t="s">
        <v>16</v>
      </c>
      <c r="C132" s="1850" t="s">
        <v>2584</v>
      </c>
      <c r="D132" s="1850" t="s">
        <v>2585</v>
      </c>
      <c r="E132" s="1850" t="s">
        <v>2586</v>
      </c>
      <c r="F132" s="1850" t="s">
        <v>2444</v>
      </c>
      <c r="G132" s="1850" t="s">
        <v>28</v>
      </c>
      <c r="H132" s="1850" t="s">
        <v>2587</v>
      </c>
      <c r="I132" s="1850" t="s">
        <v>861</v>
      </c>
    </row>
    <row customHeight="1" ht="11.25">
      <c r="A133" s="1850" t="s">
        <v>2249</v>
      </c>
      <c r="B133" s="1850" t="s">
        <v>16</v>
      </c>
      <c r="C133" s="1850" t="s">
        <v>2588</v>
      </c>
      <c r="D133" s="1850" t="s">
        <v>2589</v>
      </c>
      <c r="E133" s="1850" t="s">
        <v>2590</v>
      </c>
      <c r="F133" s="1850" t="s">
        <v>55</v>
      </c>
      <c r="G133" s="1850" t="s">
        <v>2591</v>
      </c>
      <c r="H133" s="1850" t="s">
        <v>28</v>
      </c>
      <c r="I133" s="1850" t="s">
        <v>861</v>
      </c>
    </row>
    <row customHeight="1" ht="11.25">
      <c r="A134" s="1850" t="s">
        <v>2249</v>
      </c>
      <c r="B134" s="1850" t="s">
        <v>16</v>
      </c>
      <c r="C134" s="1850" t="s">
        <v>2263</v>
      </c>
      <c r="D134" s="1850" t="s">
        <v>2264</v>
      </c>
      <c r="E134" s="1850" t="s">
        <v>2265</v>
      </c>
      <c r="F134" s="1850" t="s">
        <v>2266</v>
      </c>
      <c r="G134" s="1850" t="s">
        <v>28</v>
      </c>
      <c r="H134" s="1850" t="s">
        <v>28</v>
      </c>
      <c r="I134" s="1850" t="s">
        <v>861</v>
      </c>
    </row>
    <row customHeight="1" ht="11.25">
      <c r="A135" s="1850" t="s">
        <v>2249</v>
      </c>
      <c r="B135" s="1850" t="s">
        <v>16</v>
      </c>
      <c r="C135" s="1850" t="s">
        <v>2267</v>
      </c>
      <c r="D135" s="1850" t="s">
        <v>2268</v>
      </c>
      <c r="E135" s="1850" t="s">
        <v>2269</v>
      </c>
      <c r="F135" s="1850" t="s">
        <v>55</v>
      </c>
      <c r="G135" s="1850" t="s">
        <v>2270</v>
      </c>
      <c r="H135" s="1850" t="s">
        <v>28</v>
      </c>
      <c r="I135" s="1850" t="s">
        <v>861</v>
      </c>
    </row>
    <row customHeight="1" ht="11.25">
      <c r="A136" s="1850" t="s">
        <v>2249</v>
      </c>
      <c r="B136" s="1850" t="s">
        <v>16</v>
      </c>
      <c r="C136" s="1850" t="s">
        <v>2592</v>
      </c>
      <c r="D136" s="1850" t="s">
        <v>2593</v>
      </c>
      <c r="E136" s="1850" t="s">
        <v>2594</v>
      </c>
      <c r="F136" s="1850" t="s">
        <v>55</v>
      </c>
      <c r="G136" s="1850" t="s">
        <v>28</v>
      </c>
      <c r="H136" s="1850" t="s">
        <v>28</v>
      </c>
      <c r="I136" s="1850" t="s">
        <v>861</v>
      </c>
    </row>
    <row customHeight="1" ht="11.25">
      <c r="A137" s="1850" t="s">
        <v>2249</v>
      </c>
      <c r="B137" s="1850" t="s">
        <v>16</v>
      </c>
      <c r="C137" s="1850" t="s">
        <v>2271</v>
      </c>
      <c r="D137" s="1850" t="s">
        <v>2272</v>
      </c>
      <c r="E137" s="1850" t="s">
        <v>2273</v>
      </c>
      <c r="F137" s="1850" t="s">
        <v>2274</v>
      </c>
      <c r="G137" s="1850" t="s">
        <v>2275</v>
      </c>
      <c r="H137" s="1850" t="s">
        <v>28</v>
      </c>
      <c r="I137" s="1850" t="s">
        <v>861</v>
      </c>
    </row>
    <row customHeight="1" ht="11.25">
      <c r="A138" s="1850" t="s">
        <v>2249</v>
      </c>
      <c r="B138" s="1850" t="s">
        <v>16</v>
      </c>
      <c r="C138" s="1850" t="s">
        <v>2284</v>
      </c>
      <c r="D138" s="1850" t="s">
        <v>2285</v>
      </c>
      <c r="E138" s="1850" t="s">
        <v>2286</v>
      </c>
      <c r="F138" s="1850" t="s">
        <v>2287</v>
      </c>
      <c r="G138" s="1850" t="s">
        <v>28</v>
      </c>
      <c r="H138" s="1850" t="s">
        <v>28</v>
      </c>
      <c r="I138" s="1850" t="s">
        <v>861</v>
      </c>
    </row>
    <row customHeight="1" ht="11.25">
      <c r="A139" s="1850" t="s">
        <v>2249</v>
      </c>
      <c r="B139" s="1850" t="s">
        <v>16</v>
      </c>
      <c r="C139" s="1850" t="s">
        <v>2595</v>
      </c>
      <c r="D139" s="1850" t="s">
        <v>2596</v>
      </c>
      <c r="E139" s="1850" t="s">
        <v>2597</v>
      </c>
      <c r="F139" s="1850" t="s">
        <v>2373</v>
      </c>
      <c r="G139" s="1850" t="s">
        <v>28</v>
      </c>
      <c r="H139" s="1850" t="s">
        <v>28</v>
      </c>
      <c r="I139" s="1850" t="s">
        <v>861</v>
      </c>
    </row>
    <row customHeight="1" ht="11.25">
      <c r="A140" s="1850" t="s">
        <v>2249</v>
      </c>
      <c r="B140" s="1850" t="s">
        <v>16</v>
      </c>
      <c r="C140" s="1850" t="s">
        <v>2288</v>
      </c>
      <c r="D140" s="1850" t="s">
        <v>2289</v>
      </c>
      <c r="E140" s="1850" t="s">
        <v>2290</v>
      </c>
      <c r="F140" s="1850" t="s">
        <v>55</v>
      </c>
      <c r="G140" s="1850" t="s">
        <v>28</v>
      </c>
      <c r="H140" s="1850" t="s">
        <v>28</v>
      </c>
      <c r="I140" s="1850" t="s">
        <v>861</v>
      </c>
    </row>
    <row customHeight="1" ht="11.25">
      <c r="A141" s="1850" t="s">
        <v>2249</v>
      </c>
      <c r="B141" s="1850" t="s">
        <v>16</v>
      </c>
      <c r="C141" s="1850" t="s">
        <v>2291</v>
      </c>
      <c r="D141" s="1850" t="s">
        <v>2292</v>
      </c>
      <c r="E141" s="1850" t="s">
        <v>2293</v>
      </c>
      <c r="F141" s="1850" t="s">
        <v>55</v>
      </c>
      <c r="G141" s="1850" t="s">
        <v>28</v>
      </c>
      <c r="H141" s="1850" t="s">
        <v>28</v>
      </c>
      <c r="I141" s="1850" t="s">
        <v>861</v>
      </c>
    </row>
    <row customHeight="1" ht="11.25">
      <c r="A142" s="1850" t="s">
        <v>2249</v>
      </c>
      <c r="B142" s="1850" t="s">
        <v>16</v>
      </c>
      <c r="C142" s="1850" t="s">
        <v>2598</v>
      </c>
      <c r="D142" s="1850" t="s">
        <v>2599</v>
      </c>
      <c r="E142" s="1850" t="s">
        <v>2600</v>
      </c>
      <c r="F142" s="1850" t="s">
        <v>2343</v>
      </c>
      <c r="G142" s="1850" t="s">
        <v>28</v>
      </c>
      <c r="H142" s="1850" t="s">
        <v>28</v>
      </c>
      <c r="I142" s="1850" t="s">
        <v>861</v>
      </c>
    </row>
    <row customHeight="1" ht="11.25">
      <c r="A143" s="1850" t="s">
        <v>2249</v>
      </c>
      <c r="B143" s="1850" t="s">
        <v>16</v>
      </c>
      <c r="C143" s="1850" t="s">
        <v>2601</v>
      </c>
      <c r="D143" s="1850" t="s">
        <v>2602</v>
      </c>
      <c r="E143" s="1850" t="s">
        <v>2603</v>
      </c>
      <c r="F143" s="1850" t="s">
        <v>2511</v>
      </c>
      <c r="G143" s="1850" t="s">
        <v>28</v>
      </c>
      <c r="H143" s="1850" t="s">
        <v>28</v>
      </c>
      <c r="I143" s="1850" t="s">
        <v>861</v>
      </c>
    </row>
    <row customHeight="1" ht="11.25">
      <c r="A144" s="1850" t="s">
        <v>2249</v>
      </c>
      <c r="B144" s="1850" t="s">
        <v>16</v>
      </c>
      <c r="C144" s="1850" t="s">
        <v>2604</v>
      </c>
      <c r="D144" s="1850" t="s">
        <v>2605</v>
      </c>
      <c r="E144" s="1850" t="s">
        <v>2606</v>
      </c>
      <c r="F144" s="1850" t="s">
        <v>2464</v>
      </c>
      <c r="G144" s="1850" t="s">
        <v>28</v>
      </c>
      <c r="H144" s="1850" t="s">
        <v>28</v>
      </c>
      <c r="I144" s="1850" t="s">
        <v>861</v>
      </c>
    </row>
    <row customHeight="1" ht="11.25">
      <c r="A145" s="1850" t="s">
        <v>2249</v>
      </c>
      <c r="B145" s="1850" t="s">
        <v>16</v>
      </c>
      <c r="C145" s="1850" t="s">
        <v>2607</v>
      </c>
      <c r="D145" s="1850" t="s">
        <v>2608</v>
      </c>
      <c r="E145" s="1850" t="s">
        <v>2609</v>
      </c>
      <c r="F145" s="1850" t="s">
        <v>2253</v>
      </c>
      <c r="G145" s="1850" t="s">
        <v>28</v>
      </c>
      <c r="H145" s="1850" t="s">
        <v>28</v>
      </c>
      <c r="I145" s="1850" t="s">
        <v>861</v>
      </c>
    </row>
    <row customHeight="1" ht="11.25">
      <c r="A146" s="1850" t="s">
        <v>2249</v>
      </c>
      <c r="B146" s="1850" t="s">
        <v>16</v>
      </c>
      <c r="C146" s="1850" t="s">
        <v>2610</v>
      </c>
      <c r="D146" s="1850" t="s">
        <v>2611</v>
      </c>
      <c r="E146" s="1850" t="s">
        <v>2612</v>
      </c>
      <c r="F146" s="1850" t="s">
        <v>2253</v>
      </c>
      <c r="G146" s="1850" t="s">
        <v>28</v>
      </c>
      <c r="H146" s="1850" t="s">
        <v>28</v>
      </c>
      <c r="I146" s="1850" t="s">
        <v>861</v>
      </c>
    </row>
    <row customHeight="1" ht="11.25">
      <c r="A147" s="1850" t="s">
        <v>2249</v>
      </c>
      <c r="B147" s="1850" t="s">
        <v>16</v>
      </c>
      <c r="C147" s="1850" t="s">
        <v>2613</v>
      </c>
      <c r="D147" s="1850" t="s">
        <v>2614</v>
      </c>
      <c r="E147" s="1850" t="s">
        <v>2615</v>
      </c>
      <c r="F147" s="1850" t="s">
        <v>2253</v>
      </c>
      <c r="G147" s="1850" t="s">
        <v>28</v>
      </c>
      <c r="H147" s="1850" t="s">
        <v>28</v>
      </c>
      <c r="I147" s="1850" t="s">
        <v>861</v>
      </c>
    </row>
    <row customHeight="1" ht="11.25">
      <c r="A148" s="1850" t="s">
        <v>2249</v>
      </c>
      <c r="B148" s="1850" t="s">
        <v>16</v>
      </c>
      <c r="C148" s="1850" t="s">
        <v>2616</v>
      </c>
      <c r="D148" s="1850" t="s">
        <v>2617</v>
      </c>
      <c r="E148" s="1850" t="s">
        <v>2618</v>
      </c>
      <c r="F148" s="1850" t="s">
        <v>2408</v>
      </c>
      <c r="G148" s="1850" t="s">
        <v>28</v>
      </c>
      <c r="H148" s="1850" t="s">
        <v>28</v>
      </c>
      <c r="I148" s="1850" t="s">
        <v>861</v>
      </c>
    </row>
    <row customHeight="1" ht="11.25">
      <c r="A149" s="1850" t="s">
        <v>2249</v>
      </c>
      <c r="B149" s="1850" t="s">
        <v>16</v>
      </c>
      <c r="C149" s="1850" t="s">
        <v>2619</v>
      </c>
      <c r="D149" s="1850" t="s">
        <v>2620</v>
      </c>
      <c r="E149" s="1850" t="s">
        <v>2621</v>
      </c>
      <c r="F149" s="1850" t="s">
        <v>2253</v>
      </c>
      <c r="G149" s="1850" t="s">
        <v>28</v>
      </c>
      <c r="H149" s="1850" t="s">
        <v>28</v>
      </c>
      <c r="I149" s="1850" t="s">
        <v>861</v>
      </c>
    </row>
    <row customHeight="1" ht="11.25">
      <c r="A150" s="1850" t="s">
        <v>2249</v>
      </c>
      <c r="B150" s="1850" t="s">
        <v>16</v>
      </c>
      <c r="C150" s="1850" t="s">
        <v>2622</v>
      </c>
      <c r="D150" s="1850" t="s">
        <v>2623</v>
      </c>
      <c r="E150" s="1850" t="s">
        <v>2624</v>
      </c>
      <c r="F150" s="1850" t="s">
        <v>2373</v>
      </c>
      <c r="G150" s="1850" t="s">
        <v>2552</v>
      </c>
      <c r="H150" s="1850" t="s">
        <v>28</v>
      </c>
      <c r="I150" s="1850" t="s">
        <v>861</v>
      </c>
    </row>
    <row customHeight="1" ht="11.25">
      <c r="A151" s="1850" t="s">
        <v>2249</v>
      </c>
      <c r="B151" s="1850" t="s">
        <v>16</v>
      </c>
      <c r="C151" s="1850" t="s">
        <v>2625</v>
      </c>
      <c r="D151" s="1850" t="s">
        <v>2626</v>
      </c>
      <c r="E151" s="1850" t="s">
        <v>2627</v>
      </c>
      <c r="F151" s="1850" t="s">
        <v>2253</v>
      </c>
      <c r="G151" s="1850" t="s">
        <v>28</v>
      </c>
      <c r="H151" s="1850" t="s">
        <v>28</v>
      </c>
      <c r="I151" s="1850" t="s">
        <v>861</v>
      </c>
    </row>
    <row customHeight="1" ht="11.25">
      <c r="A152" s="1850" t="s">
        <v>2249</v>
      </c>
      <c r="B152" s="1850" t="s">
        <v>16</v>
      </c>
      <c r="C152" s="1850" t="s">
        <v>2628</v>
      </c>
      <c r="D152" s="1850" t="s">
        <v>2629</v>
      </c>
      <c r="E152" s="1850" t="s">
        <v>2630</v>
      </c>
      <c r="F152" s="1850" t="s">
        <v>2631</v>
      </c>
      <c r="G152" s="1850" t="s">
        <v>28</v>
      </c>
      <c r="H152" s="1850" t="s">
        <v>28</v>
      </c>
      <c r="I152" s="1850" t="s">
        <v>861</v>
      </c>
    </row>
    <row customHeight="1" ht="11.25">
      <c r="A153" s="1850" t="s">
        <v>2249</v>
      </c>
      <c r="B153" s="1850" t="s">
        <v>16</v>
      </c>
      <c r="C153" s="1850" t="s">
        <v>2632</v>
      </c>
      <c r="D153" s="1850" t="s">
        <v>2633</v>
      </c>
      <c r="E153" s="1850" t="s">
        <v>2634</v>
      </c>
      <c r="F153" s="1850" t="s">
        <v>2377</v>
      </c>
      <c r="G153" s="1850" t="s">
        <v>28</v>
      </c>
      <c r="H153" s="1850" t="s">
        <v>28</v>
      </c>
      <c r="I153" s="1850" t="s">
        <v>861</v>
      </c>
    </row>
    <row customHeight="1" ht="11.25">
      <c r="A154" s="1850" t="s">
        <v>2249</v>
      </c>
      <c r="B154" s="1850" t="s">
        <v>16</v>
      </c>
      <c r="C154" s="1850" t="s">
        <v>2635</v>
      </c>
      <c r="D154" s="1850" t="s">
        <v>2636</v>
      </c>
      <c r="E154" s="1850" t="s">
        <v>2637</v>
      </c>
      <c r="F154" s="1850" t="s">
        <v>2373</v>
      </c>
      <c r="G154" s="1850" t="s">
        <v>2638</v>
      </c>
      <c r="H154" s="1850" t="s">
        <v>28</v>
      </c>
      <c r="I154" s="1850" t="s">
        <v>861</v>
      </c>
    </row>
    <row customHeight="1" ht="11.25">
      <c r="A155" s="1850" t="s">
        <v>2249</v>
      </c>
      <c r="B155" s="1850" t="s">
        <v>16</v>
      </c>
      <c r="C155" s="1850" t="s">
        <v>2639</v>
      </c>
      <c r="D155" s="1850" t="s">
        <v>2640</v>
      </c>
      <c r="E155" s="1850" t="s">
        <v>2641</v>
      </c>
      <c r="F155" s="1850" t="s">
        <v>2253</v>
      </c>
      <c r="G155" s="1850" t="s">
        <v>28</v>
      </c>
      <c r="H155" s="1850" t="s">
        <v>28</v>
      </c>
      <c r="I155" s="1850" t="s">
        <v>861</v>
      </c>
    </row>
    <row customHeight="1" ht="11.25">
      <c r="A156" s="1850" t="s">
        <v>2249</v>
      </c>
      <c r="B156" s="1850" t="s">
        <v>16</v>
      </c>
      <c r="C156" s="1850" t="s">
        <v>2642</v>
      </c>
      <c r="D156" s="1850" t="s">
        <v>2643</v>
      </c>
      <c r="E156" s="1850" t="s">
        <v>2644</v>
      </c>
      <c r="F156" s="1850" t="s">
        <v>2361</v>
      </c>
      <c r="G156" s="1850" t="s">
        <v>2645</v>
      </c>
      <c r="H156" s="1850" t="s">
        <v>28</v>
      </c>
      <c r="I156" s="1850" t="s">
        <v>861</v>
      </c>
    </row>
    <row customHeight="1" ht="11.25">
      <c r="A157" s="1850" t="s">
        <v>2249</v>
      </c>
      <c r="B157" s="1850" t="s">
        <v>16</v>
      </c>
      <c r="C157" s="1850" t="s">
        <v>2646</v>
      </c>
      <c r="D157" s="1850" t="s">
        <v>2647</v>
      </c>
      <c r="E157" s="1850" t="s">
        <v>2648</v>
      </c>
      <c r="F157" s="1850" t="s">
        <v>2482</v>
      </c>
      <c r="G157" s="1850" t="s">
        <v>28</v>
      </c>
      <c r="H157" s="1850" t="s">
        <v>28</v>
      </c>
      <c r="I157" s="1850" t="s">
        <v>861</v>
      </c>
    </row>
    <row customHeight="1" ht="11.25">
      <c r="A158" s="1850" t="s">
        <v>2249</v>
      </c>
      <c r="B158" s="1850" t="s">
        <v>16</v>
      </c>
      <c r="C158" s="1850" t="s">
        <v>2649</v>
      </c>
      <c r="D158" s="1850" t="s">
        <v>2650</v>
      </c>
      <c r="E158" s="1850" t="s">
        <v>2651</v>
      </c>
      <c r="F158" s="1850" t="s">
        <v>2507</v>
      </c>
      <c r="G158" s="1850" t="s">
        <v>2652</v>
      </c>
      <c r="H158" s="1850" t="s">
        <v>28</v>
      </c>
      <c r="I158" s="1850" t="s">
        <v>861</v>
      </c>
    </row>
    <row customHeight="1" ht="11.25">
      <c r="A159" s="1850" t="s">
        <v>2249</v>
      </c>
      <c r="B159" s="1850" t="s">
        <v>16</v>
      </c>
      <c r="C159" s="1850" t="s">
        <v>2299</v>
      </c>
      <c r="D159" s="1850" t="s">
        <v>2300</v>
      </c>
      <c r="E159" s="1850" t="s">
        <v>2301</v>
      </c>
      <c r="F159" s="1850" t="s">
        <v>2302</v>
      </c>
      <c r="G159" s="1850" t="s">
        <v>28</v>
      </c>
      <c r="H159" s="1850" t="s">
        <v>28</v>
      </c>
      <c r="I159" s="1850" t="s">
        <v>861</v>
      </c>
    </row>
    <row customHeight="1" ht="11.25">
      <c r="A160" s="1850" t="s">
        <v>2249</v>
      </c>
      <c r="B160" s="1850" t="s">
        <v>16</v>
      </c>
      <c r="C160" s="1850" t="s">
        <v>2303</v>
      </c>
      <c r="D160" s="1850" t="s">
        <v>2304</v>
      </c>
      <c r="E160" s="1850" t="s">
        <v>2301</v>
      </c>
      <c r="F160" s="1850" t="s">
        <v>2305</v>
      </c>
      <c r="G160" s="1850" t="s">
        <v>28</v>
      </c>
      <c r="H160" s="1850" t="s">
        <v>28</v>
      </c>
      <c r="I160" s="1850" t="s">
        <v>861</v>
      </c>
    </row>
    <row customHeight="1" ht="11.25">
      <c r="A161" s="1850" t="s">
        <v>2249</v>
      </c>
      <c r="B161" s="1850" t="s">
        <v>16</v>
      </c>
      <c r="C161" s="1850" t="s">
        <v>2309</v>
      </c>
      <c r="D161" s="1850" t="s">
        <v>2310</v>
      </c>
      <c r="E161" s="1850" t="s">
        <v>2311</v>
      </c>
      <c r="F161" s="1850" t="s">
        <v>583</v>
      </c>
      <c r="G161" s="1850" t="s">
        <v>28</v>
      </c>
      <c r="H161" s="1850" t="s">
        <v>28</v>
      </c>
      <c r="I161" s="1850" t="s">
        <v>861</v>
      </c>
    </row>
    <row customHeight="1" ht="11.25">
      <c r="A162" s="1850" t="s">
        <v>2249</v>
      </c>
      <c r="B162" s="1850" t="s">
        <v>16</v>
      </c>
      <c r="C162" s="1850" t="s">
        <v>2653</v>
      </c>
      <c r="D162" s="1850" t="s">
        <v>2654</v>
      </c>
      <c r="E162" s="1850" t="s">
        <v>2655</v>
      </c>
      <c r="F162" s="1850" t="s">
        <v>2448</v>
      </c>
      <c r="G162" s="1850" t="s">
        <v>2552</v>
      </c>
      <c r="H162" s="1850" t="s">
        <v>28</v>
      </c>
      <c r="I162" s="1850" t="s">
        <v>861</v>
      </c>
    </row>
    <row customHeight="1" ht="11.25">
      <c r="A163" s="1850" t="s">
        <v>2249</v>
      </c>
      <c r="B163" s="1850" t="s">
        <v>16</v>
      </c>
      <c r="C163" s="1850" t="s">
        <v>2656</v>
      </c>
      <c r="D163" s="1850" t="s">
        <v>2657</v>
      </c>
      <c r="E163" s="1850" t="s">
        <v>2658</v>
      </c>
      <c r="F163" s="1850" t="s">
        <v>2448</v>
      </c>
      <c r="G163" s="1850" t="s">
        <v>28</v>
      </c>
      <c r="H163" s="1850" t="s">
        <v>28</v>
      </c>
      <c r="I163" s="1850" t="s">
        <v>861</v>
      </c>
    </row>
    <row customHeight="1" ht="11.25">
      <c r="A164" s="1850" t="s">
        <v>2249</v>
      </c>
      <c r="B164" s="1850" t="s">
        <v>16</v>
      </c>
      <c r="C164" s="1850" t="s">
        <v>2659</v>
      </c>
      <c r="D164" s="1850" t="s">
        <v>2660</v>
      </c>
      <c r="E164" s="1850" t="s">
        <v>2661</v>
      </c>
      <c r="F164" s="1850" t="s">
        <v>2662</v>
      </c>
      <c r="G164" s="1850" t="s">
        <v>2663</v>
      </c>
      <c r="H164" s="1850" t="s">
        <v>28</v>
      </c>
      <c r="I164" s="1850" t="s">
        <v>861</v>
      </c>
    </row>
    <row customHeight="1" ht="11.25">
      <c r="A165" s="1850" t="s">
        <v>2249</v>
      </c>
      <c r="B165" s="1850" t="s">
        <v>16</v>
      </c>
      <c r="C165" s="1850" t="s">
        <v>2664</v>
      </c>
      <c r="D165" s="1850" t="s">
        <v>2665</v>
      </c>
      <c r="E165" s="1850" t="s">
        <v>2666</v>
      </c>
      <c r="F165" s="1850" t="s">
        <v>2667</v>
      </c>
      <c r="G165" s="1850" t="s">
        <v>28</v>
      </c>
      <c r="H165" s="1850" t="s">
        <v>28</v>
      </c>
      <c r="I165" s="1850" t="s">
        <v>861</v>
      </c>
    </row>
    <row customHeight="1" ht="11.25">
      <c r="A166" s="1850" t="s">
        <v>2249</v>
      </c>
      <c r="B166" s="1850" t="s">
        <v>16</v>
      </c>
      <c r="C166" s="1850" t="s">
        <v>28</v>
      </c>
      <c r="D166" s="1850" t="s">
        <v>2317</v>
      </c>
      <c r="E166" s="1850" t="s">
        <v>2318</v>
      </c>
      <c r="F166" s="1850" t="s">
        <v>55</v>
      </c>
      <c r="G166" s="1850" t="s">
        <v>28</v>
      </c>
      <c r="H166" s="1850" t="s">
        <v>28</v>
      </c>
      <c r="I166" s="1850" t="s">
        <v>861</v>
      </c>
    </row>
    <row customHeight="1" ht="11.25">
      <c r="A167" s="1850" t="s">
        <v>2249</v>
      </c>
      <c r="B167" s="1850" t="s">
        <v>16</v>
      </c>
      <c r="C167" s="1850" t="s">
        <v>2668</v>
      </c>
      <c r="D167" s="1850" t="s">
        <v>2669</v>
      </c>
      <c r="E167" s="1850" t="s">
        <v>2670</v>
      </c>
      <c r="F167" s="1850" t="s">
        <v>2576</v>
      </c>
      <c r="G167" s="1850" t="s">
        <v>28</v>
      </c>
      <c r="H167" s="1850" t="s">
        <v>28</v>
      </c>
      <c r="I167" s="1850" t="s">
        <v>861</v>
      </c>
    </row>
    <row customHeight="1" ht="11.25">
      <c r="A168" s="1850" t="s">
        <v>2249</v>
      </c>
      <c r="B168" s="1850" t="s">
        <v>16</v>
      </c>
      <c r="C168" s="1850" t="s">
        <v>2671</v>
      </c>
      <c r="D168" s="1850" t="s">
        <v>2672</v>
      </c>
      <c r="E168" s="1850" t="s">
        <v>2673</v>
      </c>
      <c r="F168" s="1850" t="s">
        <v>2322</v>
      </c>
      <c r="G168" s="1850" t="s">
        <v>2674</v>
      </c>
      <c r="H168" s="1850" t="s">
        <v>28</v>
      </c>
      <c r="I168" s="1850" t="s">
        <v>861</v>
      </c>
    </row>
    <row customHeight="1" ht="11.25">
      <c r="A169" s="1850" t="s">
        <v>2249</v>
      </c>
      <c r="B169" s="1850" t="s">
        <v>16</v>
      </c>
      <c r="C169" s="1850" t="s">
        <v>2675</v>
      </c>
      <c r="D169" s="1850" t="s">
        <v>2676</v>
      </c>
      <c r="E169" s="1850" t="s">
        <v>2677</v>
      </c>
      <c r="F169" s="1850" t="s">
        <v>2631</v>
      </c>
      <c r="G169" s="1850" t="s">
        <v>2678</v>
      </c>
      <c r="H169" s="1850" t="s">
        <v>28</v>
      </c>
      <c r="I169" s="1850" t="s">
        <v>861</v>
      </c>
    </row>
    <row customHeight="1" ht="11.25">
      <c r="A170" s="1850" t="s">
        <v>2249</v>
      </c>
      <c r="B170" s="1850" t="s">
        <v>16</v>
      </c>
      <c r="C170" s="1850" t="s">
        <v>2679</v>
      </c>
      <c r="D170" s="1850" t="s">
        <v>2680</v>
      </c>
      <c r="E170" s="1850" t="s">
        <v>2681</v>
      </c>
      <c r="F170" s="1850" t="s">
        <v>2287</v>
      </c>
      <c r="G170" s="1850" t="s">
        <v>28</v>
      </c>
      <c r="H170" s="1850" t="s">
        <v>2682</v>
      </c>
      <c r="I170" s="1850" t="s">
        <v>861</v>
      </c>
    </row>
    <row customHeight="1" ht="11.25">
      <c r="A171" s="1850" t="s">
        <v>2249</v>
      </c>
      <c r="B171" s="1850" t="s">
        <v>16</v>
      </c>
      <c r="C171" s="1850" t="s">
        <v>2683</v>
      </c>
      <c r="D171" s="1850" t="s">
        <v>2684</v>
      </c>
      <c r="E171" s="1850" t="s">
        <v>2685</v>
      </c>
      <c r="F171" s="1850" t="s">
        <v>2448</v>
      </c>
      <c r="G171" s="1850" t="s">
        <v>28</v>
      </c>
      <c r="H171" s="1850" t="s">
        <v>2572</v>
      </c>
      <c r="I171" s="1850" t="s">
        <v>861</v>
      </c>
    </row>
    <row customHeight="1" ht="11.25">
      <c r="A172" s="1850" t="s">
        <v>2249</v>
      </c>
      <c r="B172" s="1850" t="s">
        <v>16</v>
      </c>
      <c r="C172" s="1850" t="s">
        <v>2686</v>
      </c>
      <c r="D172" s="1850" t="s">
        <v>2687</v>
      </c>
      <c r="E172" s="1850" t="s">
        <v>2688</v>
      </c>
      <c r="F172" s="1850" t="s">
        <v>2448</v>
      </c>
      <c r="G172" s="1850" t="s">
        <v>28</v>
      </c>
      <c r="H172" s="1850" t="s">
        <v>28</v>
      </c>
      <c r="I172" s="1850" t="s">
        <v>861</v>
      </c>
    </row>
    <row customHeight="1" ht="11.25">
      <c r="A173" s="1850" t="s">
        <v>2249</v>
      </c>
      <c r="B173" s="1850" t="s">
        <v>16</v>
      </c>
      <c r="C173" s="1850" t="s">
        <v>2689</v>
      </c>
      <c r="D173" s="1850" t="s">
        <v>2690</v>
      </c>
      <c r="E173" s="1850" t="s">
        <v>2691</v>
      </c>
      <c r="F173" s="1850" t="s">
        <v>2373</v>
      </c>
      <c r="G173" s="1850" t="s">
        <v>28</v>
      </c>
      <c r="H173" s="1850" t="s">
        <v>28</v>
      </c>
      <c r="I173" s="1850" t="s">
        <v>861</v>
      </c>
    </row>
    <row customHeight="1" ht="11.25">
      <c r="A174" s="1850" t="s">
        <v>2249</v>
      </c>
      <c r="B174" s="1850" t="s">
        <v>16</v>
      </c>
      <c r="C174" s="1850" t="s">
        <v>2692</v>
      </c>
      <c r="D174" s="1850" t="s">
        <v>2693</v>
      </c>
      <c r="E174" s="1850" t="s">
        <v>2694</v>
      </c>
      <c r="F174" s="1850" t="s">
        <v>2695</v>
      </c>
      <c r="G174" s="1850" t="s">
        <v>28</v>
      </c>
      <c r="H174" s="1850" t="s">
        <v>28</v>
      </c>
      <c r="I174" s="1850" t="s">
        <v>861</v>
      </c>
    </row>
    <row customHeight="1" ht="11.25">
      <c r="A175" s="1850" t="s">
        <v>2249</v>
      </c>
      <c r="B175" s="1850" t="s">
        <v>16</v>
      </c>
      <c r="C175" s="1850" t="s">
        <v>2329</v>
      </c>
      <c r="D175" s="1850" t="s">
        <v>2330</v>
      </c>
      <c r="E175" s="1850" t="s">
        <v>2331</v>
      </c>
      <c r="F175" s="1850" t="s">
        <v>2253</v>
      </c>
      <c r="G175" s="1850" t="s">
        <v>2332</v>
      </c>
      <c r="H175" s="1850" t="s">
        <v>28</v>
      </c>
      <c r="I175" s="1850" t="s">
        <v>861</v>
      </c>
    </row>
    <row customHeight="1" ht="11.25">
      <c r="A176" s="1850" t="s">
        <v>2249</v>
      </c>
      <c r="B176" s="1850" t="s">
        <v>16</v>
      </c>
      <c r="C176" s="1850" t="s">
        <v>2696</v>
      </c>
      <c r="D176" s="1850" t="s">
        <v>2697</v>
      </c>
      <c r="E176" s="1850" t="s">
        <v>2698</v>
      </c>
      <c r="F176" s="1850" t="s">
        <v>2343</v>
      </c>
      <c r="G176" s="1850" t="s">
        <v>28</v>
      </c>
      <c r="H176" s="1850" t="s">
        <v>28</v>
      </c>
      <c r="I176" s="1850" t="s">
        <v>861</v>
      </c>
    </row>
    <row customHeight="1" ht="11.25">
      <c r="A177" s="1850" t="s">
        <v>2249</v>
      </c>
      <c r="B177" s="1850" t="s">
        <v>16</v>
      </c>
      <c r="C177" s="1850" t="s">
        <v>2333</v>
      </c>
      <c r="D177" s="1850" t="s">
        <v>2334</v>
      </c>
      <c r="E177" s="1850" t="s">
        <v>2335</v>
      </c>
      <c r="F177" s="1850" t="s">
        <v>2336</v>
      </c>
      <c r="G177" s="1850" t="s">
        <v>28</v>
      </c>
      <c r="H177" s="1850" t="s">
        <v>28</v>
      </c>
      <c r="I177" s="1850" t="s">
        <v>861</v>
      </c>
    </row>
    <row customHeight="1" ht="11.25">
      <c r="A178" s="1850" t="s">
        <v>2249</v>
      </c>
      <c r="B178" s="1850" t="s">
        <v>16</v>
      </c>
      <c r="C178" s="1850" t="s">
        <v>2337</v>
      </c>
      <c r="D178" s="1850" t="s">
        <v>2338</v>
      </c>
      <c r="E178" s="1850" t="s">
        <v>2339</v>
      </c>
      <c r="F178" s="1850" t="s">
        <v>55</v>
      </c>
      <c r="G178" s="1850" t="s">
        <v>28</v>
      </c>
      <c r="H178" s="1850" t="s">
        <v>28</v>
      </c>
      <c r="I178" s="1850" t="s">
        <v>861</v>
      </c>
    </row>
    <row customHeight="1" ht="11.25">
      <c r="A179" s="1850" t="s">
        <v>2249</v>
      </c>
      <c r="B179" s="1850" t="s">
        <v>16</v>
      </c>
      <c r="C179" s="1850" t="s">
        <v>2699</v>
      </c>
      <c r="D179" s="1850" t="s">
        <v>2700</v>
      </c>
      <c r="E179" s="1850" t="s">
        <v>2701</v>
      </c>
      <c r="F179" s="1850" t="s">
        <v>2336</v>
      </c>
      <c r="G179" s="1850" t="s">
        <v>28</v>
      </c>
      <c r="H179" s="1850" t="s">
        <v>2702</v>
      </c>
      <c r="I179" s="1850" t="s">
        <v>861</v>
      </c>
    </row>
    <row customHeight="1" ht="11.25">
      <c r="A180" s="1850" t="s">
        <v>2249</v>
      </c>
      <c r="B180" s="1850" t="s">
        <v>16</v>
      </c>
      <c r="C180" s="1850" t="s">
        <v>2703</v>
      </c>
      <c r="D180" s="1850" t="s">
        <v>2704</v>
      </c>
      <c r="E180" s="1850" t="s">
        <v>2705</v>
      </c>
      <c r="F180" s="1850" t="s">
        <v>2253</v>
      </c>
      <c r="G180" s="1850" t="s">
        <v>28</v>
      </c>
      <c r="H180" s="1850" t="s">
        <v>28</v>
      </c>
      <c r="I180" s="1850" t="s">
        <v>861</v>
      </c>
    </row>
    <row customHeight="1" ht="11.25">
      <c r="A181" s="1850" t="s">
        <v>2249</v>
      </c>
      <c r="B181" s="1850" t="s">
        <v>16</v>
      </c>
      <c r="C181" s="1850" t="s">
        <v>2706</v>
      </c>
      <c r="D181" s="1850" t="s">
        <v>2707</v>
      </c>
      <c r="E181" s="1850" t="s">
        <v>2708</v>
      </c>
      <c r="F181" s="1850" t="s">
        <v>2343</v>
      </c>
      <c r="G181" s="1850" t="s">
        <v>28</v>
      </c>
      <c r="H181" s="1850" t="s">
        <v>2709</v>
      </c>
      <c r="I181" s="1850" t="s">
        <v>861</v>
      </c>
    </row>
    <row customHeight="1" ht="11.25">
      <c r="A182" s="1850" t="s">
        <v>2249</v>
      </c>
      <c r="B182" s="1850" t="s">
        <v>16</v>
      </c>
      <c r="C182" s="1850" t="s">
        <v>2710</v>
      </c>
      <c r="D182" s="1850" t="s">
        <v>2711</v>
      </c>
      <c r="E182" s="1850" t="s">
        <v>2712</v>
      </c>
      <c r="F182" s="1850" t="s">
        <v>2507</v>
      </c>
      <c r="G182" s="1850" t="s">
        <v>2713</v>
      </c>
      <c r="H182" s="1850" t="s">
        <v>28</v>
      </c>
      <c r="I182" s="1850" t="s">
        <v>861</v>
      </c>
    </row>
    <row customHeight="1" ht="11.25">
      <c r="A183" s="1850" t="s">
        <v>2249</v>
      </c>
      <c r="B183" s="1850" t="s">
        <v>16</v>
      </c>
      <c r="C183" s="1850" t="s">
        <v>2714</v>
      </c>
      <c r="D183" s="1850" t="s">
        <v>2715</v>
      </c>
      <c r="E183" s="1850" t="s">
        <v>2716</v>
      </c>
      <c r="F183" s="1850" t="s">
        <v>2511</v>
      </c>
      <c r="G183" s="1850" t="s">
        <v>2717</v>
      </c>
      <c r="H183" s="1850" t="s">
        <v>28</v>
      </c>
      <c r="I183" s="1850" t="s">
        <v>861</v>
      </c>
    </row>
    <row customHeight="1" ht="11.25">
      <c r="A184" s="1850" t="s">
        <v>2249</v>
      </c>
      <c r="B184" s="1850" t="s">
        <v>16</v>
      </c>
      <c r="C184" s="1850" t="s">
        <v>2344</v>
      </c>
      <c r="D184" s="1850" t="s">
        <v>2345</v>
      </c>
      <c r="E184" s="1850" t="s">
        <v>2346</v>
      </c>
      <c r="F184" s="1850" t="s">
        <v>2336</v>
      </c>
      <c r="G184" s="1850" t="s">
        <v>28</v>
      </c>
      <c r="H184" s="1850" t="s">
        <v>28</v>
      </c>
      <c r="I184" s="1850" t="s">
        <v>861</v>
      </c>
    </row>
    <row customHeight="1" ht="11.25">
      <c r="A185" s="1850" t="s">
        <v>2249</v>
      </c>
      <c r="B185" s="1850" t="s">
        <v>16</v>
      </c>
      <c r="C185" s="1850" t="s">
        <v>2718</v>
      </c>
      <c r="D185" s="1850" t="s">
        <v>2719</v>
      </c>
      <c r="E185" s="1850" t="s">
        <v>2720</v>
      </c>
      <c r="F185" s="1850" t="s">
        <v>2356</v>
      </c>
      <c r="G185" s="1850" t="s">
        <v>28</v>
      </c>
      <c r="H185" s="1850" t="s">
        <v>28</v>
      </c>
      <c r="I185" s="1850" t="s">
        <v>861</v>
      </c>
    </row>
    <row customHeight="1" ht="11.25">
      <c r="A186" s="1850" t="s">
        <v>2249</v>
      </c>
      <c r="B186" s="1850" t="s">
        <v>16</v>
      </c>
      <c r="C186" s="1850" t="s">
        <v>2721</v>
      </c>
      <c r="D186" s="1850" t="s">
        <v>2722</v>
      </c>
      <c r="E186" s="1850" t="s">
        <v>2723</v>
      </c>
      <c r="F186" s="1850" t="s">
        <v>2448</v>
      </c>
      <c r="G186" s="1850" t="s">
        <v>2724</v>
      </c>
      <c r="H186" s="1850" t="s">
        <v>28</v>
      </c>
      <c r="I186" s="1850" t="s">
        <v>861</v>
      </c>
    </row>
    <row customHeight="1" ht="11.25">
      <c r="A187" s="1850" t="s">
        <v>2249</v>
      </c>
      <c r="B187" s="1850" t="s">
        <v>16</v>
      </c>
      <c r="C187" s="1850" t="s">
        <v>2725</v>
      </c>
      <c r="D187" s="1850" t="s">
        <v>2726</v>
      </c>
      <c r="E187" s="1850" t="s">
        <v>2727</v>
      </c>
      <c r="F187" s="1850" t="s">
        <v>2336</v>
      </c>
      <c r="G187" s="1850" t="s">
        <v>2728</v>
      </c>
      <c r="H187" s="1850" t="s">
        <v>2729</v>
      </c>
      <c r="I187" s="1850" t="s">
        <v>861</v>
      </c>
    </row>
    <row customHeight="1" ht="11.25">
      <c r="A188" s="1850" t="s">
        <v>2249</v>
      </c>
      <c r="B188" s="1850" t="s">
        <v>16</v>
      </c>
      <c r="C188" s="1850" t="s">
        <v>2730</v>
      </c>
      <c r="D188" s="1850" t="s">
        <v>2731</v>
      </c>
      <c r="E188" s="1850" t="s">
        <v>2732</v>
      </c>
      <c r="F188" s="1850" t="s">
        <v>2662</v>
      </c>
      <c r="G188" s="1850" t="s">
        <v>2733</v>
      </c>
      <c r="H188" s="1850" t="s">
        <v>28</v>
      </c>
      <c r="I188" s="1850" t="s">
        <v>861</v>
      </c>
    </row>
    <row customHeight="1" ht="11.25">
      <c r="A189" s="1850" t="s">
        <v>2249</v>
      </c>
      <c r="B189" s="1850" t="s">
        <v>16</v>
      </c>
      <c r="C189" s="1850" t="s">
        <v>2734</v>
      </c>
      <c r="D189" s="1850" t="s">
        <v>2735</v>
      </c>
      <c r="E189" s="1850" t="s">
        <v>2736</v>
      </c>
      <c r="F189" s="1850" t="s">
        <v>55</v>
      </c>
      <c r="G189" s="1850" t="s">
        <v>28</v>
      </c>
      <c r="H189" s="1850" t="s">
        <v>28</v>
      </c>
      <c r="I189" s="1850" t="s">
        <v>861</v>
      </c>
    </row>
    <row customHeight="1" ht="11.25">
      <c r="A190" s="1850" t="s">
        <v>2249</v>
      </c>
      <c r="B190" s="1850" t="s">
        <v>16</v>
      </c>
      <c r="C190" s="1850" t="s">
        <v>2737</v>
      </c>
      <c r="D190" s="1850" t="s">
        <v>2738</v>
      </c>
      <c r="E190" s="1850" t="s">
        <v>2739</v>
      </c>
      <c r="F190" s="1850" t="s">
        <v>2336</v>
      </c>
      <c r="G190" s="1850" t="s">
        <v>28</v>
      </c>
      <c r="H190" s="1850" t="s">
        <v>28</v>
      </c>
      <c r="I190" s="1850" t="s">
        <v>861</v>
      </c>
    </row>
    <row customHeight="1" ht="11.25">
      <c r="A191" s="1850" t="s">
        <v>2249</v>
      </c>
      <c r="B191" s="1850" t="s">
        <v>16</v>
      </c>
      <c r="C191" s="1850" t="s">
        <v>2347</v>
      </c>
      <c r="D191" s="1850" t="s">
        <v>2348</v>
      </c>
      <c r="E191" s="1850" t="s">
        <v>2349</v>
      </c>
      <c r="F191" s="1850" t="s">
        <v>2327</v>
      </c>
      <c r="G191" s="1850" t="s">
        <v>28</v>
      </c>
      <c r="H191" s="1850" t="s">
        <v>28</v>
      </c>
      <c r="I191" s="1850" t="s">
        <v>861</v>
      </c>
    </row>
    <row customHeight="1" ht="11.25">
      <c r="A192" s="1850" t="s">
        <v>2249</v>
      </c>
      <c r="B192" s="1850" t="s">
        <v>16</v>
      </c>
      <c r="C192" s="1850" t="s">
        <v>2740</v>
      </c>
      <c r="D192" s="1850" t="s">
        <v>2741</v>
      </c>
      <c r="E192" s="1850" t="s">
        <v>2742</v>
      </c>
      <c r="F192" s="1850" t="s">
        <v>2287</v>
      </c>
      <c r="G192" s="1850" t="s">
        <v>28</v>
      </c>
      <c r="H192" s="1850" t="s">
        <v>28</v>
      </c>
      <c r="I192" s="1850" t="s">
        <v>861</v>
      </c>
    </row>
    <row customHeight="1" ht="11.25">
      <c r="A193" s="1850" t="s">
        <v>2249</v>
      </c>
      <c r="B193" s="1850" t="s">
        <v>16</v>
      </c>
      <c r="C193" s="1850" t="s">
        <v>2743</v>
      </c>
      <c r="D193" s="1850" t="s">
        <v>2744</v>
      </c>
      <c r="E193" s="1850" t="s">
        <v>2745</v>
      </c>
      <c r="F193" s="1850" t="s">
        <v>2343</v>
      </c>
      <c r="G193" s="1850" t="s">
        <v>28</v>
      </c>
      <c r="H193" s="1850" t="s">
        <v>2746</v>
      </c>
      <c r="I193" s="1850" t="s">
        <v>861</v>
      </c>
    </row>
    <row customHeight="1" ht="11.25">
      <c r="A194" s="1850" t="s">
        <v>2249</v>
      </c>
      <c r="B194" s="1850" t="s">
        <v>16</v>
      </c>
      <c r="C194" s="1850" t="s">
        <v>2350</v>
      </c>
      <c r="D194" s="1850" t="s">
        <v>2351</v>
      </c>
      <c r="E194" s="1850" t="s">
        <v>2352</v>
      </c>
      <c r="F194" s="1850" t="s">
        <v>2343</v>
      </c>
      <c r="G194" s="1850" t="s">
        <v>28</v>
      </c>
      <c r="H194" s="1850" t="s">
        <v>28</v>
      </c>
      <c r="I194" s="1850" t="s">
        <v>861</v>
      </c>
    </row>
    <row customHeight="1" ht="11.25">
      <c r="A195" s="1850" t="s">
        <v>2249</v>
      </c>
      <c r="B195" s="1850" t="s">
        <v>16</v>
      </c>
      <c r="C195" s="1850" t="s">
        <v>2747</v>
      </c>
      <c r="D195" s="1850" t="s">
        <v>2748</v>
      </c>
      <c r="E195" s="1850" t="s">
        <v>2749</v>
      </c>
      <c r="F195" s="1850" t="s">
        <v>2373</v>
      </c>
      <c r="G195" s="1850" t="s">
        <v>28</v>
      </c>
      <c r="H195" s="1850" t="s">
        <v>28</v>
      </c>
      <c r="I195" s="1850" t="s">
        <v>861</v>
      </c>
    </row>
    <row customHeight="1" ht="11.25">
      <c r="A196" s="1850" t="s">
        <v>2249</v>
      </c>
      <c r="B196" s="1850" t="s">
        <v>16</v>
      </c>
      <c r="C196" s="1850" t="s">
        <v>2363</v>
      </c>
      <c r="D196" s="1850" t="s">
        <v>2364</v>
      </c>
      <c r="E196" s="1850" t="s">
        <v>2365</v>
      </c>
      <c r="F196" s="1850" t="s">
        <v>2356</v>
      </c>
      <c r="G196" s="1850" t="s">
        <v>2366</v>
      </c>
      <c r="H196" s="1850" t="s">
        <v>28</v>
      </c>
      <c r="I196" s="1850" t="s">
        <v>861</v>
      </c>
    </row>
    <row customHeight="1" ht="11.25">
      <c r="A197" s="1850" t="s">
        <v>2249</v>
      </c>
      <c r="B197" s="1850" t="s">
        <v>16</v>
      </c>
      <c r="C197" s="1850" t="s">
        <v>2750</v>
      </c>
      <c r="D197" s="1850" t="s">
        <v>2751</v>
      </c>
      <c r="E197" s="1850" t="s">
        <v>2752</v>
      </c>
      <c r="F197" s="1850" t="s">
        <v>2361</v>
      </c>
      <c r="G197" s="1850" t="s">
        <v>2753</v>
      </c>
      <c r="H197" s="1850" t="s">
        <v>28</v>
      </c>
      <c r="I197" s="1850" t="s">
        <v>861</v>
      </c>
    </row>
    <row customHeight="1" ht="11.25">
      <c r="A198" s="1850" t="s">
        <v>2249</v>
      </c>
      <c r="B198" s="1850" t="s">
        <v>16</v>
      </c>
      <c r="C198" s="1850" t="s">
        <v>2754</v>
      </c>
      <c r="D198" s="1850" t="s">
        <v>2755</v>
      </c>
      <c r="E198" s="1850" t="s">
        <v>2756</v>
      </c>
      <c r="F198" s="1850" t="s">
        <v>2361</v>
      </c>
      <c r="G198" s="1850" t="s">
        <v>2757</v>
      </c>
      <c r="H198" s="1850" t="s">
        <v>2758</v>
      </c>
      <c r="I198" s="1850" t="s">
        <v>861</v>
      </c>
    </row>
    <row customHeight="1" ht="11.25">
      <c r="A199" s="1850" t="s">
        <v>2249</v>
      </c>
      <c r="B199" s="1850" t="s">
        <v>16</v>
      </c>
      <c r="C199" s="1850" t="s">
        <v>2759</v>
      </c>
      <c r="D199" s="1850" t="s">
        <v>2760</v>
      </c>
      <c r="E199" s="1850" t="s">
        <v>2761</v>
      </c>
      <c r="F199" s="1850" t="s">
        <v>2373</v>
      </c>
      <c r="G199" s="1850" t="s">
        <v>28</v>
      </c>
      <c r="H199" s="1850" t="s">
        <v>28</v>
      </c>
      <c r="I199" s="1850" t="s">
        <v>861</v>
      </c>
    </row>
    <row customHeight="1" ht="11.25">
      <c r="A200" s="1850" t="s">
        <v>2249</v>
      </c>
      <c r="B200" s="1850" t="s">
        <v>16</v>
      </c>
      <c r="C200" s="1850" t="s">
        <v>2762</v>
      </c>
      <c r="D200" s="1850" t="s">
        <v>2763</v>
      </c>
      <c r="E200" s="1850" t="s">
        <v>2764</v>
      </c>
      <c r="F200" s="1850" t="s">
        <v>2297</v>
      </c>
      <c r="G200" s="1850" t="s">
        <v>28</v>
      </c>
      <c r="H200" s="1850" t="s">
        <v>28</v>
      </c>
      <c r="I200" s="1850" t="s">
        <v>861</v>
      </c>
    </row>
    <row customHeight="1" ht="11.25">
      <c r="A201" s="1850" t="s">
        <v>2249</v>
      </c>
      <c r="B201" s="1850" t="s">
        <v>16</v>
      </c>
      <c r="C201" s="1850" t="s">
        <v>2367</v>
      </c>
      <c r="D201" s="1850" t="s">
        <v>2368</v>
      </c>
      <c r="E201" s="1850" t="s">
        <v>2369</v>
      </c>
      <c r="F201" s="1850" t="s">
        <v>2257</v>
      </c>
      <c r="G201" s="1850" t="s">
        <v>28</v>
      </c>
      <c r="H201" s="1850" t="s">
        <v>28</v>
      </c>
      <c r="I201" s="1850" t="s">
        <v>861</v>
      </c>
    </row>
    <row customHeight="1" ht="11.25">
      <c r="A202" s="1850" t="s">
        <v>2249</v>
      </c>
      <c r="B202" s="1850" t="s">
        <v>16</v>
      </c>
      <c r="C202" s="1850" t="s">
        <v>2765</v>
      </c>
      <c r="D202" s="1850" t="s">
        <v>2766</v>
      </c>
      <c r="E202" s="1850" t="s">
        <v>2767</v>
      </c>
      <c r="F202" s="1850" t="s">
        <v>2361</v>
      </c>
      <c r="G202" s="1850" t="s">
        <v>28</v>
      </c>
      <c r="H202" s="1850" t="s">
        <v>2768</v>
      </c>
      <c r="I202" s="1850" t="s">
        <v>861</v>
      </c>
    </row>
    <row customHeight="1" ht="11.25">
      <c r="A203" s="1850" t="s">
        <v>2249</v>
      </c>
      <c r="B203" s="1850" t="s">
        <v>16</v>
      </c>
      <c r="C203" s="1850" t="s">
        <v>2769</v>
      </c>
      <c r="D203" s="1850" t="s">
        <v>2770</v>
      </c>
      <c r="E203" s="1850" t="s">
        <v>2771</v>
      </c>
      <c r="F203" s="1850" t="s">
        <v>2486</v>
      </c>
      <c r="G203" s="1850" t="s">
        <v>28</v>
      </c>
      <c r="H203" s="1850" t="s">
        <v>28</v>
      </c>
      <c r="I203" s="1850" t="s">
        <v>861</v>
      </c>
    </row>
    <row customHeight="1" ht="11.25">
      <c r="A204" s="1850" t="s">
        <v>2249</v>
      </c>
      <c r="B204" s="1850" t="s">
        <v>16</v>
      </c>
      <c r="C204" s="1850" t="s">
        <v>2772</v>
      </c>
      <c r="D204" s="1850" t="s">
        <v>2773</v>
      </c>
      <c r="E204" s="1850" t="s">
        <v>2774</v>
      </c>
      <c r="F204" s="1850" t="s">
        <v>2482</v>
      </c>
      <c r="G204" s="1850" t="s">
        <v>2775</v>
      </c>
      <c r="H204" s="1850" t="s">
        <v>28</v>
      </c>
      <c r="I204" s="1850" t="s">
        <v>861</v>
      </c>
    </row>
    <row customHeight="1" ht="11.25">
      <c r="A205" s="1850" t="s">
        <v>2249</v>
      </c>
      <c r="B205" s="1850" t="s">
        <v>16</v>
      </c>
      <c r="C205" s="1850" t="s">
        <v>2776</v>
      </c>
      <c r="D205" s="1850" t="s">
        <v>2777</v>
      </c>
      <c r="E205" s="1850" t="s">
        <v>2778</v>
      </c>
      <c r="F205" s="1850" t="s">
        <v>2408</v>
      </c>
      <c r="G205" s="1850" t="s">
        <v>28</v>
      </c>
      <c r="H205" s="1850" t="s">
        <v>28</v>
      </c>
      <c r="I205" s="1850" t="s">
        <v>861</v>
      </c>
    </row>
    <row customHeight="1" ht="11.25">
      <c r="A206" s="1850" t="s">
        <v>2249</v>
      </c>
      <c r="B206" s="1850" t="s">
        <v>16</v>
      </c>
      <c r="C206" s="1850" t="s">
        <v>2779</v>
      </c>
      <c r="D206" s="1850" t="s">
        <v>2780</v>
      </c>
      <c r="E206" s="1850" t="s">
        <v>2781</v>
      </c>
      <c r="F206" s="1850" t="s">
        <v>55</v>
      </c>
      <c r="G206" s="1850" t="s">
        <v>28</v>
      </c>
      <c r="H206" s="1850" t="s">
        <v>28</v>
      </c>
      <c r="I206" s="1850" t="s">
        <v>861</v>
      </c>
    </row>
    <row customHeight="1" ht="11.25">
      <c r="A207" s="1850" t="s">
        <v>2249</v>
      </c>
      <c r="B207" s="1850" t="s">
        <v>16</v>
      </c>
      <c r="C207" s="1850" t="s">
        <v>2782</v>
      </c>
      <c r="D207" s="1850" t="s">
        <v>2783</v>
      </c>
      <c r="E207" s="1850" t="s">
        <v>2784</v>
      </c>
      <c r="F207" s="1850" t="s">
        <v>2257</v>
      </c>
      <c r="G207" s="1850" t="s">
        <v>28</v>
      </c>
      <c r="H207" s="1850" t="s">
        <v>28</v>
      </c>
      <c r="I207" s="1850" t="s">
        <v>861</v>
      </c>
    </row>
    <row customHeight="1" ht="11.25">
      <c r="A208" s="1850" t="s">
        <v>2249</v>
      </c>
      <c r="B208" s="1850" t="s">
        <v>16</v>
      </c>
      <c r="C208" s="1850" t="s">
        <v>2785</v>
      </c>
      <c r="D208" s="1850" t="s">
        <v>2786</v>
      </c>
      <c r="E208" s="1850" t="s">
        <v>2787</v>
      </c>
      <c r="F208" s="1850" t="s">
        <v>2373</v>
      </c>
      <c r="G208" s="1850" t="s">
        <v>28</v>
      </c>
      <c r="H208" s="1850" t="s">
        <v>28</v>
      </c>
      <c r="I208" s="1850" t="s">
        <v>861</v>
      </c>
    </row>
    <row customHeight="1" ht="11.25">
      <c r="A209" s="1850" t="s">
        <v>2249</v>
      </c>
      <c r="B209" s="1850" t="s">
        <v>16</v>
      </c>
      <c r="C209" s="1850" t="s">
        <v>2788</v>
      </c>
      <c r="D209" s="1850" t="s">
        <v>2789</v>
      </c>
      <c r="E209" s="1850" t="s">
        <v>2790</v>
      </c>
      <c r="F209" s="1850" t="s">
        <v>2361</v>
      </c>
      <c r="G209" s="1850" t="s">
        <v>2791</v>
      </c>
      <c r="H209" s="1850" t="s">
        <v>28</v>
      </c>
      <c r="I209" s="1850" t="s">
        <v>861</v>
      </c>
    </row>
    <row customHeight="1" ht="11.25">
      <c r="A210" s="1850" t="s">
        <v>2249</v>
      </c>
      <c r="B210" s="1850" t="s">
        <v>16</v>
      </c>
      <c r="C210" s="1850" t="s">
        <v>2792</v>
      </c>
      <c r="D210" s="1850" t="s">
        <v>2399</v>
      </c>
      <c r="E210" s="1850" t="s">
        <v>2400</v>
      </c>
      <c r="F210" s="1850" t="s">
        <v>2343</v>
      </c>
      <c r="G210" s="1850" t="s">
        <v>28</v>
      </c>
      <c r="H210" s="1850" t="s">
        <v>28</v>
      </c>
      <c r="I210" s="1850" t="s">
        <v>861</v>
      </c>
    </row>
    <row customHeight="1" ht="11.25">
      <c r="A211" s="1850" t="s">
        <v>2249</v>
      </c>
      <c r="B211" s="1850" t="s">
        <v>16</v>
      </c>
      <c r="C211" s="1850" t="s">
        <v>2398</v>
      </c>
      <c r="D211" s="1850" t="s">
        <v>2399</v>
      </c>
      <c r="E211" s="1850" t="s">
        <v>2400</v>
      </c>
      <c r="F211" s="1850" t="s">
        <v>2401</v>
      </c>
      <c r="G211" s="1850" t="s">
        <v>28</v>
      </c>
      <c r="H211" s="1850" t="s">
        <v>28</v>
      </c>
      <c r="I211" s="1850" t="s">
        <v>861</v>
      </c>
    </row>
    <row customHeight="1" ht="11.25">
      <c r="A212" s="1850" t="s">
        <v>2249</v>
      </c>
      <c r="B212" s="1850" t="s">
        <v>16</v>
      </c>
      <c r="C212" s="1850" t="s">
        <v>2793</v>
      </c>
      <c r="D212" s="1850" t="s">
        <v>2794</v>
      </c>
      <c r="E212" s="1850" t="s">
        <v>2795</v>
      </c>
      <c r="F212" s="1850" t="s">
        <v>2444</v>
      </c>
      <c r="G212" s="1850" t="s">
        <v>28</v>
      </c>
      <c r="H212" s="1850" t="s">
        <v>28</v>
      </c>
      <c r="I212" s="1850" t="s">
        <v>861</v>
      </c>
    </row>
    <row customHeight="1" ht="11.25">
      <c r="A213" s="1850" t="s">
        <v>2249</v>
      </c>
      <c r="B213" s="1850" t="s">
        <v>16</v>
      </c>
      <c r="C213" s="1850" t="s">
        <v>2796</v>
      </c>
      <c r="D213" s="1850" t="s">
        <v>2797</v>
      </c>
      <c r="E213" s="1850" t="s">
        <v>2798</v>
      </c>
      <c r="F213" s="1850" t="s">
        <v>2287</v>
      </c>
      <c r="G213" s="1850" t="s">
        <v>28</v>
      </c>
      <c r="H213" s="1850" t="s">
        <v>28</v>
      </c>
      <c r="I213" s="1850" t="s">
        <v>861</v>
      </c>
    </row>
    <row customHeight="1" ht="11.25">
      <c r="A214" s="1850" t="s">
        <v>2249</v>
      </c>
      <c r="B214" s="1850" t="s">
        <v>16</v>
      </c>
      <c r="C214" s="1850" t="s">
        <v>2799</v>
      </c>
      <c r="D214" s="1850" t="s">
        <v>2800</v>
      </c>
      <c r="E214" s="1850" t="s">
        <v>2801</v>
      </c>
      <c r="F214" s="1850" t="s">
        <v>2336</v>
      </c>
      <c r="G214" s="1850" t="s">
        <v>28</v>
      </c>
      <c r="H214" s="1850" t="s">
        <v>28</v>
      </c>
      <c r="I214" s="1850" t="s">
        <v>861</v>
      </c>
    </row>
    <row customHeight="1" ht="11.25">
      <c r="A215" s="1850" t="s">
        <v>2249</v>
      </c>
      <c r="B215" s="1850" t="s">
        <v>16</v>
      </c>
      <c r="C215" s="1850" t="s">
        <v>2802</v>
      </c>
      <c r="D215" s="1850" t="s">
        <v>2803</v>
      </c>
      <c r="E215" s="1850" t="s">
        <v>2804</v>
      </c>
      <c r="F215" s="1850" t="s">
        <v>2695</v>
      </c>
      <c r="G215" s="1850" t="s">
        <v>28</v>
      </c>
      <c r="H215" s="1850" t="s">
        <v>2469</v>
      </c>
      <c r="I215" s="1850" t="s">
        <v>861</v>
      </c>
    </row>
    <row customHeight="1" ht="11.25">
      <c r="A216" s="1850" t="s">
        <v>2249</v>
      </c>
      <c r="B216" s="1850" t="s">
        <v>16</v>
      </c>
      <c r="C216" s="1850" t="s">
        <v>2805</v>
      </c>
      <c r="D216" s="1850" t="s">
        <v>2806</v>
      </c>
      <c r="E216" s="1850" t="s">
        <v>2807</v>
      </c>
      <c r="F216" s="1850" t="s">
        <v>2426</v>
      </c>
      <c r="G216" s="1850" t="s">
        <v>28</v>
      </c>
      <c r="H216" s="1850" t="s">
        <v>28</v>
      </c>
      <c r="I216" s="1850" t="s">
        <v>861</v>
      </c>
    </row>
    <row customHeight="1" ht="11.25">
      <c r="A217" s="1850" t="s">
        <v>2249</v>
      </c>
      <c r="B217" s="1850" t="s">
        <v>16</v>
      </c>
      <c r="C217" s="1850" t="s">
        <v>2405</v>
      </c>
      <c r="D217" s="1850" t="s">
        <v>2406</v>
      </c>
      <c r="E217" s="1850" t="s">
        <v>2407</v>
      </c>
      <c r="F217" s="1850" t="s">
        <v>2408</v>
      </c>
      <c r="G217" s="1850" t="s">
        <v>28</v>
      </c>
      <c r="H217" s="1850" t="s">
        <v>28</v>
      </c>
      <c r="I217" s="1850" t="s">
        <v>861</v>
      </c>
    </row>
    <row customHeight="1" ht="11.25">
      <c r="A218" s="1850" t="s">
        <v>2249</v>
      </c>
      <c r="B218" s="1850" t="s">
        <v>16</v>
      </c>
      <c r="C218" s="1850" t="s">
        <v>2808</v>
      </c>
      <c r="D218" s="1850" t="s">
        <v>2809</v>
      </c>
      <c r="E218" s="1850" t="s">
        <v>2810</v>
      </c>
      <c r="F218" s="1850" t="s">
        <v>2408</v>
      </c>
      <c r="G218" s="1850" t="s">
        <v>28</v>
      </c>
      <c r="H218" s="1850" t="s">
        <v>2682</v>
      </c>
      <c r="I218" s="1850" t="s">
        <v>861</v>
      </c>
    </row>
    <row customHeight="1" ht="11.25">
      <c r="A219" s="1850" t="s">
        <v>2249</v>
      </c>
      <c r="B219" s="1850" t="s">
        <v>16</v>
      </c>
      <c r="C219" s="1850" t="s">
        <v>2811</v>
      </c>
      <c r="D219" s="1850" t="s">
        <v>2812</v>
      </c>
      <c r="E219" s="1850" t="s">
        <v>2813</v>
      </c>
      <c r="F219" s="1850" t="s">
        <v>2511</v>
      </c>
      <c r="G219" s="1850" t="s">
        <v>28</v>
      </c>
      <c r="H219" s="1850" t="s">
        <v>28</v>
      </c>
      <c r="I219" s="1850" t="s">
        <v>861</v>
      </c>
    </row>
    <row customHeight="1" ht="11.25">
      <c r="A220" s="1850" t="s">
        <v>2249</v>
      </c>
      <c r="B220" s="1850" t="s">
        <v>16</v>
      </c>
      <c r="C220" s="1850" t="s">
        <v>2814</v>
      </c>
      <c r="D220" s="1850" t="s">
        <v>2815</v>
      </c>
      <c r="E220" s="1850" t="s">
        <v>2816</v>
      </c>
      <c r="F220" s="1850" t="s">
        <v>2257</v>
      </c>
      <c r="G220" s="1850" t="s">
        <v>2817</v>
      </c>
      <c r="H220" s="1850" t="s">
        <v>2818</v>
      </c>
      <c r="I220" s="1850" t="s">
        <v>861</v>
      </c>
    </row>
    <row customHeight="1" ht="11.25">
      <c r="A221" s="1850" t="s">
        <v>2249</v>
      </c>
      <c r="B221" s="1850" t="s">
        <v>16</v>
      </c>
      <c r="C221" s="1850" t="s">
        <v>2819</v>
      </c>
      <c r="D221" s="1850" t="s">
        <v>2820</v>
      </c>
      <c r="E221" s="1850" t="s">
        <v>2821</v>
      </c>
      <c r="F221" s="1850" t="s">
        <v>2464</v>
      </c>
      <c r="G221" s="1850" t="s">
        <v>28</v>
      </c>
      <c r="H221" s="1850" t="s">
        <v>28</v>
      </c>
      <c r="I221" s="1850" t="s">
        <v>861</v>
      </c>
    </row>
    <row customHeight="1" ht="11.25">
      <c r="A222" s="1850" t="s">
        <v>2249</v>
      </c>
      <c r="B222" s="1850" t="s">
        <v>16</v>
      </c>
      <c r="C222" s="1850" t="s">
        <v>2822</v>
      </c>
      <c r="D222" s="1850" t="s">
        <v>2823</v>
      </c>
      <c r="E222" s="1850" t="s">
        <v>2824</v>
      </c>
      <c r="F222" s="1850" t="s">
        <v>2825</v>
      </c>
      <c r="G222" s="1850" t="s">
        <v>28</v>
      </c>
      <c r="H222" s="1850" t="s">
        <v>28</v>
      </c>
      <c r="I222" s="1850" t="s">
        <v>861</v>
      </c>
    </row>
    <row customHeight="1" ht="11.25">
      <c r="A223" s="1850" t="s">
        <v>2249</v>
      </c>
      <c r="B223" s="1850" t="s">
        <v>16</v>
      </c>
      <c r="C223" s="1850" t="s">
        <v>2427</v>
      </c>
      <c r="D223" s="1850" t="s">
        <v>2428</v>
      </c>
      <c r="E223" s="1850" t="s">
        <v>2429</v>
      </c>
      <c r="F223" s="1850" t="s">
        <v>2343</v>
      </c>
      <c r="G223" s="1850" t="s">
        <v>28</v>
      </c>
      <c r="H223" s="1850" t="s">
        <v>28</v>
      </c>
      <c r="I223" s="1850" t="s">
        <v>861</v>
      </c>
    </row>
    <row customHeight="1" ht="11.25">
      <c r="A224" s="1850" t="s">
        <v>2249</v>
      </c>
      <c r="B224" s="1850" t="s">
        <v>16</v>
      </c>
      <c r="C224" s="1850" t="s">
        <v>2430</v>
      </c>
      <c r="D224" s="1850" t="s">
        <v>2431</v>
      </c>
      <c r="E224" s="1850" t="s">
        <v>2432</v>
      </c>
      <c r="F224" s="1850" t="s">
        <v>2433</v>
      </c>
      <c r="G224" s="1850" t="s">
        <v>2434</v>
      </c>
      <c r="H224" s="1850" t="s">
        <v>28</v>
      </c>
      <c r="I224" s="1850" t="s">
        <v>861</v>
      </c>
    </row>
    <row customHeight="1" ht="11.25">
      <c r="A225" s="1850" t="s">
        <v>2249</v>
      </c>
      <c r="B225" s="1850" t="s">
        <v>16</v>
      </c>
      <c r="C225" s="1850" t="s">
        <v>2435</v>
      </c>
      <c r="D225" s="1850" t="s">
        <v>2436</v>
      </c>
      <c r="E225" s="1850" t="s">
        <v>2437</v>
      </c>
      <c r="F225" s="1850" t="s">
        <v>55</v>
      </c>
      <c r="G225" s="1850" t="s">
        <v>28</v>
      </c>
      <c r="H225" s="1850" t="s">
        <v>28</v>
      </c>
      <c r="I225" s="1850" t="s">
        <v>861</v>
      </c>
    </row>
    <row customHeight="1" ht="11.25">
      <c r="A226" s="1850" t="s">
        <v>2249</v>
      </c>
      <c r="B226" s="1850" t="s">
        <v>16</v>
      </c>
      <c r="C226" s="1850" t="s">
        <v>2826</v>
      </c>
      <c r="D226" s="1850" t="s">
        <v>2827</v>
      </c>
      <c r="E226" s="1850" t="s">
        <v>2828</v>
      </c>
      <c r="F226" s="1850" t="s">
        <v>2507</v>
      </c>
      <c r="G226" s="1850" t="s">
        <v>28</v>
      </c>
      <c r="H226" s="1850" t="s">
        <v>28</v>
      </c>
      <c r="I226" s="1850" t="s">
        <v>861</v>
      </c>
    </row>
    <row customHeight="1" ht="11.25">
      <c r="A227" s="1850" t="s">
        <v>2249</v>
      </c>
      <c r="B227" s="1850" t="s">
        <v>16</v>
      </c>
      <c r="C227" s="1850" t="s">
        <v>2829</v>
      </c>
      <c r="D227" s="1850" t="s">
        <v>2830</v>
      </c>
      <c r="E227" s="1850" t="s">
        <v>2831</v>
      </c>
      <c r="F227" s="1850" t="s">
        <v>55</v>
      </c>
      <c r="G227" s="1850" t="s">
        <v>28</v>
      </c>
      <c r="H227" s="1850" t="s">
        <v>28</v>
      </c>
      <c r="I227" s="1850" t="s">
        <v>861</v>
      </c>
    </row>
    <row customHeight="1" ht="11.25">
      <c r="A228" s="1850" t="s">
        <v>2249</v>
      </c>
      <c r="B228" s="1850" t="s">
        <v>16</v>
      </c>
      <c r="C228" s="1850" t="s">
        <v>2454</v>
      </c>
      <c r="D228" s="1850" t="s">
        <v>2455</v>
      </c>
      <c r="E228" s="1850" t="s">
        <v>2456</v>
      </c>
      <c r="F228" s="1850" t="s">
        <v>2257</v>
      </c>
      <c r="G228" s="1850" t="s">
        <v>28</v>
      </c>
      <c r="H228" s="1850" t="s">
        <v>28</v>
      </c>
      <c r="I228" s="1850" t="s">
        <v>861</v>
      </c>
    </row>
    <row customHeight="1" ht="11.25">
      <c r="A229" s="1850" t="s">
        <v>2249</v>
      </c>
      <c r="B229" s="1850" t="s">
        <v>16</v>
      </c>
      <c r="C229" s="1850" t="s">
        <v>2457</v>
      </c>
      <c r="D229" s="1850" t="s">
        <v>2458</v>
      </c>
      <c r="E229" s="1850" t="s">
        <v>2459</v>
      </c>
      <c r="F229" s="1850" t="s">
        <v>2257</v>
      </c>
      <c r="G229" s="1850" t="s">
        <v>2460</v>
      </c>
      <c r="H229" s="1850" t="s">
        <v>28</v>
      </c>
      <c r="I229" s="1850" t="s">
        <v>861</v>
      </c>
    </row>
    <row customHeight="1" ht="11.25">
      <c r="A230" s="1850" t="s">
        <v>2249</v>
      </c>
      <c r="B230" s="1850" t="s">
        <v>16</v>
      </c>
      <c r="C230" s="1850" t="s">
        <v>2832</v>
      </c>
      <c r="D230" s="1850" t="s">
        <v>2833</v>
      </c>
      <c r="E230" s="1850" t="s">
        <v>2834</v>
      </c>
      <c r="F230" s="1850" t="s">
        <v>2448</v>
      </c>
      <c r="G230" s="1850" t="s">
        <v>28</v>
      </c>
      <c r="H230" s="1850" t="s">
        <v>28</v>
      </c>
      <c r="I230" s="1850" t="s">
        <v>861</v>
      </c>
    </row>
    <row customHeight="1" ht="11.25">
      <c r="A231" s="1850" t="s">
        <v>2249</v>
      </c>
      <c r="B231" s="1850" t="s">
        <v>16</v>
      </c>
      <c r="C231" s="1850" t="s">
        <v>2461</v>
      </c>
      <c r="D231" s="1850" t="s">
        <v>2462</v>
      </c>
      <c r="E231" s="1850" t="s">
        <v>2463</v>
      </c>
      <c r="F231" s="1850" t="s">
        <v>2464</v>
      </c>
      <c r="G231" s="1850" t="s">
        <v>28</v>
      </c>
      <c r="H231" s="1850" t="s">
        <v>28</v>
      </c>
      <c r="I231" s="1850" t="s">
        <v>861</v>
      </c>
    </row>
    <row customHeight="1" ht="11.25">
      <c r="A232" s="1850" t="s">
        <v>2249</v>
      </c>
      <c r="B232" s="1850" t="s">
        <v>16</v>
      </c>
      <c r="C232" s="1850" t="s">
        <v>2470</v>
      </c>
      <c r="D232" s="1850" t="s">
        <v>2471</v>
      </c>
      <c r="E232" s="1850" t="s">
        <v>2472</v>
      </c>
      <c r="F232" s="1850" t="s">
        <v>2322</v>
      </c>
      <c r="G232" s="1850" t="s">
        <v>28</v>
      </c>
      <c r="H232" s="1850" t="s">
        <v>28</v>
      </c>
      <c r="I232" s="1850" t="s">
        <v>861</v>
      </c>
    </row>
    <row customHeight="1" ht="11.25">
      <c r="A233" s="1850" t="s">
        <v>2249</v>
      </c>
      <c r="B233" s="1850" t="s">
        <v>16</v>
      </c>
      <c r="C233" s="1850" t="s">
        <v>2476</v>
      </c>
      <c r="D233" s="1850" t="s">
        <v>2477</v>
      </c>
      <c r="E233" s="1850" t="s">
        <v>2478</v>
      </c>
      <c r="F233" s="1850" t="s">
        <v>2253</v>
      </c>
      <c r="G233" s="1850" t="s">
        <v>28</v>
      </c>
      <c r="H233" s="1850" t="s">
        <v>28</v>
      </c>
      <c r="I233" s="1850" t="s">
        <v>861</v>
      </c>
    </row>
    <row customHeight="1" ht="11.25">
      <c r="A234" s="1850" t="s">
        <v>2249</v>
      </c>
      <c r="B234" s="1850" t="s">
        <v>16</v>
      </c>
      <c r="C234" s="1850" t="s">
        <v>2835</v>
      </c>
      <c r="D234" s="1850" t="s">
        <v>2836</v>
      </c>
      <c r="E234" s="1850" t="s">
        <v>2837</v>
      </c>
      <c r="F234" s="1850" t="s">
        <v>2576</v>
      </c>
      <c r="G234" s="1850" t="s">
        <v>28</v>
      </c>
      <c r="H234" s="1850" t="s">
        <v>28</v>
      </c>
      <c r="I234" s="1850" t="s">
        <v>861</v>
      </c>
    </row>
    <row customHeight="1" ht="11.25">
      <c r="A235" s="1850" t="s">
        <v>2249</v>
      </c>
      <c r="B235" s="1850" t="s">
        <v>16</v>
      </c>
      <c r="C235" s="1850" t="s">
        <v>2838</v>
      </c>
      <c r="D235" s="1850" t="s">
        <v>2839</v>
      </c>
      <c r="E235" s="1850" t="s">
        <v>2840</v>
      </c>
      <c r="F235" s="1850" t="s">
        <v>2464</v>
      </c>
      <c r="G235" s="1850" t="s">
        <v>2841</v>
      </c>
      <c r="H235" s="1850" t="s">
        <v>28</v>
      </c>
      <c r="I235" s="1850" t="s">
        <v>861</v>
      </c>
    </row>
    <row customHeight="1" ht="11.25">
      <c r="A236" s="1850" t="s">
        <v>2249</v>
      </c>
      <c r="B236" s="1850" t="s">
        <v>16</v>
      </c>
      <c r="C236" s="1850" t="s">
        <v>2842</v>
      </c>
      <c r="D236" s="1850" t="s">
        <v>2843</v>
      </c>
      <c r="E236" s="1850" t="s">
        <v>2844</v>
      </c>
      <c r="F236" s="1850" t="s">
        <v>2845</v>
      </c>
      <c r="G236" s="1850" t="s">
        <v>28</v>
      </c>
      <c r="H236" s="1850" t="s">
        <v>2846</v>
      </c>
      <c r="I236" s="1850" t="s">
        <v>861</v>
      </c>
    </row>
    <row customHeight="1" ht="11.25">
      <c r="A237" s="1850" t="s">
        <v>2249</v>
      </c>
      <c r="B237" s="1850" t="s">
        <v>16</v>
      </c>
      <c r="C237" s="1850" t="s">
        <v>2479</v>
      </c>
      <c r="D237" s="1850" t="s">
        <v>2480</v>
      </c>
      <c r="E237" s="1850" t="s">
        <v>2481</v>
      </c>
      <c r="F237" s="1850" t="s">
        <v>2482</v>
      </c>
      <c r="G237" s="1850" t="s">
        <v>28</v>
      </c>
      <c r="H237" s="1850" t="s">
        <v>28</v>
      </c>
      <c r="I237" s="1850" t="s">
        <v>861</v>
      </c>
    </row>
    <row customHeight="1" ht="11.25">
      <c r="A238" s="1850" t="s">
        <v>2249</v>
      </c>
      <c r="B238" s="1850" t="s">
        <v>16</v>
      </c>
      <c r="C238" s="1850" t="s">
        <v>2847</v>
      </c>
      <c r="D238" s="1850" t="s">
        <v>2848</v>
      </c>
      <c r="E238" s="1850" t="s">
        <v>2849</v>
      </c>
      <c r="F238" s="1850" t="s">
        <v>2486</v>
      </c>
      <c r="G238" s="1850" t="s">
        <v>28</v>
      </c>
      <c r="H238" s="1850" t="s">
        <v>28</v>
      </c>
      <c r="I238" s="1850" t="s">
        <v>861</v>
      </c>
    </row>
    <row customHeight="1" ht="11.25">
      <c r="A239" s="1850" t="s">
        <v>2249</v>
      </c>
      <c r="B239" s="1850" t="s">
        <v>16</v>
      </c>
      <c r="C239" s="1850" t="s">
        <v>2850</v>
      </c>
      <c r="D239" s="1850" t="s">
        <v>2851</v>
      </c>
      <c r="E239" s="1850" t="s">
        <v>2852</v>
      </c>
      <c r="F239" s="1850" t="s">
        <v>2356</v>
      </c>
      <c r="G239" s="1850" t="s">
        <v>28</v>
      </c>
      <c r="H239" s="1850" t="s">
        <v>28</v>
      </c>
      <c r="I239" s="1850" t="s">
        <v>861</v>
      </c>
    </row>
    <row customHeight="1" ht="11.25">
      <c r="A240" s="1850" t="s">
        <v>2249</v>
      </c>
      <c r="B240" s="1850" t="s">
        <v>16</v>
      </c>
      <c r="C240" s="1850" t="s">
        <v>2498</v>
      </c>
      <c r="D240" s="1850" t="s">
        <v>2499</v>
      </c>
      <c r="E240" s="1850" t="s">
        <v>2500</v>
      </c>
      <c r="F240" s="1850" t="s">
        <v>2464</v>
      </c>
      <c r="G240" s="1850" t="s">
        <v>28</v>
      </c>
      <c r="H240" s="1850" t="s">
        <v>28</v>
      </c>
      <c r="I240" s="1850" t="s">
        <v>861</v>
      </c>
    </row>
    <row customHeight="1" ht="11.25">
      <c r="A241" s="1850" t="s">
        <v>2249</v>
      </c>
      <c r="B241" s="1850" t="s">
        <v>16</v>
      </c>
      <c r="C241" s="1850" t="s">
        <v>2504</v>
      </c>
      <c r="D241" s="1850" t="s">
        <v>2505</v>
      </c>
      <c r="E241" s="1850" t="s">
        <v>2506</v>
      </c>
      <c r="F241" s="1850" t="s">
        <v>2507</v>
      </c>
      <c r="G241" s="1850" t="s">
        <v>28</v>
      </c>
      <c r="H241" s="1850" t="s">
        <v>28</v>
      </c>
      <c r="I241" s="1850" t="s">
        <v>861</v>
      </c>
    </row>
    <row customHeight="1" ht="11.25">
      <c r="A242" s="1850" t="s">
        <v>2249</v>
      </c>
      <c r="B242" s="1850" t="s">
        <v>16</v>
      </c>
      <c r="C242" s="1850" t="s">
        <v>2853</v>
      </c>
      <c r="D242" s="1850" t="s">
        <v>2854</v>
      </c>
      <c r="E242" s="1850" t="s">
        <v>2855</v>
      </c>
      <c r="F242" s="1850" t="s">
        <v>2507</v>
      </c>
      <c r="G242" s="1850" t="s">
        <v>28</v>
      </c>
      <c r="H242" s="1850" t="s">
        <v>28</v>
      </c>
      <c r="I242" s="1850" t="s">
        <v>861</v>
      </c>
    </row>
    <row customHeight="1" ht="11.25">
      <c r="A243" s="1850" t="s">
        <v>2249</v>
      </c>
      <c r="B243" s="1850" t="s">
        <v>16</v>
      </c>
      <c r="C243" s="1850" t="s">
        <v>2512</v>
      </c>
      <c r="D243" s="1850" t="s">
        <v>2513</v>
      </c>
      <c r="E243" s="1850" t="s">
        <v>2514</v>
      </c>
      <c r="F243" s="1850" t="s">
        <v>2515</v>
      </c>
      <c r="G243" s="1850" t="s">
        <v>2516</v>
      </c>
      <c r="H243" s="1850" t="s">
        <v>28</v>
      </c>
      <c r="I243" s="1850" t="s">
        <v>861</v>
      </c>
    </row>
    <row customHeight="1" ht="11.25">
      <c r="A244" s="1850" t="s">
        <v>2249</v>
      </c>
      <c r="B244" s="1850" t="s">
        <v>16</v>
      </c>
      <c r="C244" s="1850" t="s">
        <v>2517</v>
      </c>
      <c r="D244" s="1850" t="s">
        <v>2518</v>
      </c>
      <c r="E244" s="1850" t="s">
        <v>2278</v>
      </c>
      <c r="F244" s="1850" t="s">
        <v>2519</v>
      </c>
      <c r="G244" s="1850" t="s">
        <v>28</v>
      </c>
      <c r="H244" s="1850" t="s">
        <v>28</v>
      </c>
      <c r="I244" s="1850" t="s">
        <v>861</v>
      </c>
    </row>
    <row customHeight="1" ht="11.25">
      <c r="A245" s="1850" t="s">
        <v>2249</v>
      </c>
      <c r="B245" s="1850" t="s">
        <v>16</v>
      </c>
      <c r="C245" s="1850" t="s">
        <v>2520</v>
      </c>
      <c r="D245" s="1850" t="s">
        <v>2521</v>
      </c>
      <c r="E245" s="1850" t="s">
        <v>2273</v>
      </c>
      <c r="F245" s="1850" t="s">
        <v>2343</v>
      </c>
      <c r="G245" s="1850" t="s">
        <v>28</v>
      </c>
      <c r="H245" s="1850" t="s">
        <v>28</v>
      </c>
      <c r="I245" s="1850" t="s">
        <v>861</v>
      </c>
    </row>
    <row customHeight="1" ht="11.25">
      <c r="A246" s="1850" t="s">
        <v>2249</v>
      </c>
      <c r="B246" s="1850" t="s">
        <v>16</v>
      </c>
      <c r="C246" s="1850" t="s">
        <v>2856</v>
      </c>
      <c r="D246" s="1850" t="s">
        <v>2857</v>
      </c>
      <c r="E246" s="1850" t="s">
        <v>2858</v>
      </c>
      <c r="F246" s="1850" t="s">
        <v>2315</v>
      </c>
      <c r="G246" s="1850" t="s">
        <v>28</v>
      </c>
      <c r="H246" s="1850" t="s">
        <v>28</v>
      </c>
      <c r="I246" s="1850" t="s">
        <v>861</v>
      </c>
    </row>
    <row customHeight="1" ht="11.25">
      <c r="A247" s="1850" t="s">
        <v>2249</v>
      </c>
      <c r="B247" s="1850" t="s">
        <v>16</v>
      </c>
      <c r="C247" s="1850" t="s">
        <v>2859</v>
      </c>
      <c r="D247" s="1850" t="s">
        <v>2860</v>
      </c>
      <c r="E247" s="1850" t="s">
        <v>2861</v>
      </c>
      <c r="F247" s="1850" t="s">
        <v>2507</v>
      </c>
      <c r="G247" s="1850" t="s">
        <v>2862</v>
      </c>
      <c r="H247" s="1850" t="s">
        <v>28</v>
      </c>
      <c r="I247" s="1850" t="s">
        <v>861</v>
      </c>
    </row>
    <row customHeight="1" ht="11.25">
      <c r="A248" s="1850" t="s">
        <v>2249</v>
      </c>
      <c r="B248" s="1850" t="s">
        <v>16</v>
      </c>
      <c r="C248" s="1850" t="s">
        <v>2863</v>
      </c>
      <c r="D248" s="1850" t="s">
        <v>2864</v>
      </c>
      <c r="E248" s="1850" t="s">
        <v>2865</v>
      </c>
      <c r="F248" s="1850" t="s">
        <v>2507</v>
      </c>
      <c r="G248" s="1850" t="s">
        <v>28</v>
      </c>
      <c r="H248" s="1850" t="s">
        <v>28</v>
      </c>
      <c r="I248" s="1850" t="s">
        <v>861</v>
      </c>
    </row>
    <row customHeight="1" ht="11.25">
      <c r="A249" s="1850" t="s">
        <v>2249</v>
      </c>
      <c r="B249" s="1850" t="s">
        <v>16</v>
      </c>
      <c r="C249" s="1850" t="s">
        <v>2866</v>
      </c>
      <c r="D249" s="1850" t="s">
        <v>2867</v>
      </c>
      <c r="E249" s="1850" t="s">
        <v>2868</v>
      </c>
      <c r="F249" s="1850" t="s">
        <v>2667</v>
      </c>
      <c r="G249" s="1850" t="s">
        <v>2869</v>
      </c>
      <c r="H249" s="1850" t="s">
        <v>28</v>
      </c>
      <c r="I249" s="1850" t="s">
        <v>861</v>
      </c>
    </row>
    <row customHeight="1" ht="11.25">
      <c r="A250" s="1850" t="s">
        <v>2249</v>
      </c>
      <c r="B250" s="1850" t="s">
        <v>16</v>
      </c>
      <c r="C250" s="1850" t="s">
        <v>2870</v>
      </c>
      <c r="D250" s="1850" t="s">
        <v>2871</v>
      </c>
      <c r="E250" s="1850" t="s">
        <v>2872</v>
      </c>
      <c r="F250" s="1850" t="s">
        <v>2667</v>
      </c>
      <c r="G250" s="1850" t="s">
        <v>28</v>
      </c>
      <c r="H250" s="1850" t="s">
        <v>28</v>
      </c>
      <c r="I250" s="1850" t="s">
        <v>861</v>
      </c>
    </row>
    <row customHeight="1" ht="11.25">
      <c r="A251" s="1850" t="s">
        <v>2249</v>
      </c>
      <c r="B251" s="1850" t="s">
        <v>16</v>
      </c>
      <c r="C251" s="1850" t="s">
        <v>2873</v>
      </c>
      <c r="D251" s="1850" t="s">
        <v>2874</v>
      </c>
      <c r="E251" s="1850" t="s">
        <v>2875</v>
      </c>
      <c r="F251" s="1850" t="s">
        <v>2322</v>
      </c>
      <c r="G251" s="1850" t="s">
        <v>28</v>
      </c>
      <c r="H251" s="1850" t="s">
        <v>28</v>
      </c>
      <c r="I251" s="1850" t="s">
        <v>861</v>
      </c>
    </row>
    <row customHeight="1" ht="11.25">
      <c r="A252" s="1850" t="s">
        <v>2249</v>
      </c>
      <c r="B252" s="1850" t="s">
        <v>16</v>
      </c>
      <c r="C252" s="1850" t="s">
        <v>2876</v>
      </c>
      <c r="D252" s="1850" t="s">
        <v>2877</v>
      </c>
      <c r="E252" s="1850" t="s">
        <v>2878</v>
      </c>
      <c r="F252" s="1850" t="s">
        <v>55</v>
      </c>
      <c r="G252" s="1850" t="s">
        <v>28</v>
      </c>
      <c r="H252" s="1850" t="s">
        <v>28</v>
      </c>
      <c r="I252" s="1850" t="s">
        <v>861</v>
      </c>
    </row>
    <row customHeight="1" ht="11.25">
      <c r="A253" s="1850" t="s">
        <v>2249</v>
      </c>
      <c r="B253" s="1850" t="s">
        <v>16</v>
      </c>
      <c r="C253" s="1850" t="s">
        <v>2525</v>
      </c>
      <c r="D253" s="1850" t="s">
        <v>2526</v>
      </c>
      <c r="E253" s="1850" t="s">
        <v>2527</v>
      </c>
      <c r="F253" s="1850" t="s">
        <v>2448</v>
      </c>
      <c r="G253" s="1850" t="s">
        <v>28</v>
      </c>
      <c r="H253" s="1850" t="s">
        <v>28</v>
      </c>
      <c r="I253" s="1850" t="s">
        <v>861</v>
      </c>
    </row>
    <row customHeight="1" ht="11.25">
      <c r="A254" s="1850" t="s">
        <v>2249</v>
      </c>
      <c r="B254" s="1850" t="s">
        <v>16</v>
      </c>
      <c r="C254" s="1850" t="s">
        <v>2879</v>
      </c>
      <c r="D254" s="1850" t="s">
        <v>2880</v>
      </c>
      <c r="E254" s="1850" t="s">
        <v>2881</v>
      </c>
      <c r="F254" s="1850" t="s">
        <v>55</v>
      </c>
      <c r="G254" s="1850" t="s">
        <v>28</v>
      </c>
      <c r="H254" s="1850" t="s">
        <v>28</v>
      </c>
      <c r="I254" s="1850" t="s">
        <v>861</v>
      </c>
    </row>
    <row customHeight="1" ht="11.25">
      <c r="A255" s="1850" t="s">
        <v>2249</v>
      </c>
      <c r="B255" s="1850" t="s">
        <v>16</v>
      </c>
      <c r="C255" s="1850" t="s">
        <v>2528</v>
      </c>
      <c r="D255" s="1850" t="s">
        <v>2529</v>
      </c>
      <c r="E255" s="1850" t="s">
        <v>2301</v>
      </c>
      <c r="F255" s="1850" t="s">
        <v>2530</v>
      </c>
      <c r="G255" s="1850" t="s">
        <v>28</v>
      </c>
      <c r="H255" s="1850" t="s">
        <v>28</v>
      </c>
      <c r="I255" s="1850" t="s">
        <v>861</v>
      </c>
    </row>
    <row customHeight="1" ht="11.25">
      <c r="A256" s="1850" t="s">
        <v>2249</v>
      </c>
      <c r="B256" s="1850" t="s">
        <v>16</v>
      </c>
      <c r="C256" s="1850" t="s">
        <v>2533</v>
      </c>
      <c r="D256" s="1850" t="s">
        <v>2534</v>
      </c>
      <c r="E256" s="1850" t="s">
        <v>2535</v>
      </c>
      <c r="F256" s="1850" t="s">
        <v>2536</v>
      </c>
      <c r="G256" s="1850" t="s">
        <v>28</v>
      </c>
      <c r="H256" s="1850" t="s">
        <v>28</v>
      </c>
      <c r="I256" s="1850" t="s">
        <v>861</v>
      </c>
    </row>
    <row customHeight="1" ht="11.25">
      <c r="A257" s="1850" t="s">
        <v>2249</v>
      </c>
      <c r="B257" s="1850" t="s">
        <v>16</v>
      </c>
      <c r="C257" s="1850" t="s">
        <v>2537</v>
      </c>
      <c r="D257" s="1850" t="s">
        <v>2538</v>
      </c>
      <c r="E257" s="1850" t="s">
        <v>2278</v>
      </c>
      <c r="F257" s="1850" t="s">
        <v>2315</v>
      </c>
      <c r="G257" s="1850" t="s">
        <v>28</v>
      </c>
      <c r="H257" s="1850" t="s">
        <v>28</v>
      </c>
      <c r="I257" s="1850" t="s">
        <v>861</v>
      </c>
    </row>
    <row customHeight="1" ht="11.25">
      <c r="A258" s="1850" t="s">
        <v>2249</v>
      </c>
      <c r="B258" s="1850" t="s">
        <v>16</v>
      </c>
      <c r="C258" s="1850" t="s">
        <v>2250</v>
      </c>
      <c r="D258" s="1850" t="s">
        <v>2251</v>
      </c>
      <c r="E258" s="1850" t="s">
        <v>2252</v>
      </c>
      <c r="F258" s="1850" t="s">
        <v>2253</v>
      </c>
      <c r="G258" s="1850" t="s">
        <v>28</v>
      </c>
      <c r="H258" s="1850" t="s">
        <v>28</v>
      </c>
      <c r="I258" s="1850" t="s">
        <v>914</v>
      </c>
    </row>
    <row customHeight="1" ht="11.25">
      <c r="A259" s="1850" t="s">
        <v>2249</v>
      </c>
      <c r="B259" s="1850" t="s">
        <v>16</v>
      </c>
      <c r="C259" s="1850" t="s">
        <v>2882</v>
      </c>
      <c r="D259" s="1850" t="s">
        <v>2883</v>
      </c>
      <c r="E259" s="1850" t="s">
        <v>2884</v>
      </c>
      <c r="F259" s="1850" t="s">
        <v>2336</v>
      </c>
      <c r="G259" s="1850" t="s">
        <v>2885</v>
      </c>
      <c r="H259" s="1850" t="s">
        <v>28</v>
      </c>
      <c r="I259" s="1850" t="s">
        <v>914</v>
      </c>
    </row>
    <row customHeight="1" ht="11.25">
      <c r="A260" s="1850" t="s">
        <v>2249</v>
      </c>
      <c r="B260" s="1850" t="s">
        <v>16</v>
      </c>
      <c r="C260" s="1850" t="s">
        <v>2886</v>
      </c>
      <c r="D260" s="1850" t="s">
        <v>2887</v>
      </c>
      <c r="E260" s="1850" t="s">
        <v>2888</v>
      </c>
      <c r="F260" s="1850" t="s">
        <v>2287</v>
      </c>
      <c r="G260" s="1850" t="s">
        <v>28</v>
      </c>
      <c r="H260" s="1850" t="s">
        <v>28</v>
      </c>
      <c r="I260" s="1850" t="s">
        <v>914</v>
      </c>
    </row>
    <row customHeight="1" ht="11.25">
      <c r="A261" s="1850" t="s">
        <v>2249</v>
      </c>
      <c r="B261" s="1850" t="s">
        <v>16</v>
      </c>
      <c r="C261" s="1850" t="s">
        <v>2889</v>
      </c>
      <c r="D261" s="1850" t="s">
        <v>2890</v>
      </c>
      <c r="E261" s="1850" t="s">
        <v>2891</v>
      </c>
      <c r="F261" s="1850" t="s">
        <v>2327</v>
      </c>
      <c r="G261" s="1850" t="s">
        <v>28</v>
      </c>
      <c r="H261" s="1850" t="s">
        <v>28</v>
      </c>
      <c r="I261" s="1850" t="s">
        <v>914</v>
      </c>
    </row>
    <row customHeight="1" ht="11.25">
      <c r="A262" s="1850" t="s">
        <v>2249</v>
      </c>
      <c r="B262" s="1850" t="s">
        <v>16</v>
      </c>
      <c r="C262" s="1850" t="s">
        <v>2584</v>
      </c>
      <c r="D262" s="1850" t="s">
        <v>2585</v>
      </c>
      <c r="E262" s="1850" t="s">
        <v>2586</v>
      </c>
      <c r="F262" s="1850" t="s">
        <v>2444</v>
      </c>
      <c r="G262" s="1850" t="s">
        <v>28</v>
      </c>
      <c r="H262" s="1850" t="s">
        <v>2587</v>
      </c>
      <c r="I262" s="1850" t="s">
        <v>914</v>
      </c>
    </row>
    <row customHeight="1" ht="11.25">
      <c r="A263" s="1850" t="s">
        <v>2249</v>
      </c>
      <c r="B263" s="1850" t="s">
        <v>16</v>
      </c>
      <c r="C263" s="1850" t="s">
        <v>2263</v>
      </c>
      <c r="D263" s="1850" t="s">
        <v>2264</v>
      </c>
      <c r="E263" s="1850" t="s">
        <v>2265</v>
      </c>
      <c r="F263" s="1850" t="s">
        <v>2266</v>
      </c>
      <c r="G263" s="1850" t="s">
        <v>28</v>
      </c>
      <c r="H263" s="1850" t="s">
        <v>28</v>
      </c>
      <c r="I263" s="1850" t="s">
        <v>914</v>
      </c>
    </row>
    <row customHeight="1" ht="11.25">
      <c r="A264" s="1850" t="s">
        <v>2249</v>
      </c>
      <c r="B264" s="1850" t="s">
        <v>16</v>
      </c>
      <c r="C264" s="1850" t="s">
        <v>2267</v>
      </c>
      <c r="D264" s="1850" t="s">
        <v>2268</v>
      </c>
      <c r="E264" s="1850" t="s">
        <v>2269</v>
      </c>
      <c r="F264" s="1850" t="s">
        <v>55</v>
      </c>
      <c r="G264" s="1850" t="s">
        <v>2270</v>
      </c>
      <c r="H264" s="1850" t="s">
        <v>28</v>
      </c>
      <c r="I264" s="1850" t="s">
        <v>914</v>
      </c>
    </row>
    <row customHeight="1" ht="11.25">
      <c r="A265" s="1850" t="s">
        <v>2249</v>
      </c>
      <c r="B265" s="1850" t="s">
        <v>16</v>
      </c>
      <c r="C265" s="1850" t="s">
        <v>2592</v>
      </c>
      <c r="D265" s="1850" t="s">
        <v>2593</v>
      </c>
      <c r="E265" s="1850" t="s">
        <v>2594</v>
      </c>
      <c r="F265" s="1850" t="s">
        <v>55</v>
      </c>
      <c r="G265" s="1850" t="s">
        <v>28</v>
      </c>
      <c r="H265" s="1850" t="s">
        <v>28</v>
      </c>
      <c r="I265" s="1850" t="s">
        <v>914</v>
      </c>
    </row>
    <row customHeight="1" ht="11.25">
      <c r="A266" s="1850" t="s">
        <v>2249</v>
      </c>
      <c r="B266" s="1850" t="s">
        <v>16</v>
      </c>
      <c r="C266" s="1850" t="s">
        <v>2271</v>
      </c>
      <c r="D266" s="1850" t="s">
        <v>2272</v>
      </c>
      <c r="E266" s="1850" t="s">
        <v>2273</v>
      </c>
      <c r="F266" s="1850" t="s">
        <v>2274</v>
      </c>
      <c r="G266" s="1850" t="s">
        <v>2275</v>
      </c>
      <c r="H266" s="1850" t="s">
        <v>28</v>
      </c>
      <c r="I266" s="1850" t="s">
        <v>914</v>
      </c>
    </row>
    <row customHeight="1" ht="11.25">
      <c r="A267" s="1850" t="s">
        <v>2249</v>
      </c>
      <c r="B267" s="1850" t="s">
        <v>16</v>
      </c>
      <c r="C267" s="1850" t="s">
        <v>2284</v>
      </c>
      <c r="D267" s="1850" t="s">
        <v>2285</v>
      </c>
      <c r="E267" s="1850" t="s">
        <v>2286</v>
      </c>
      <c r="F267" s="1850" t="s">
        <v>2287</v>
      </c>
      <c r="G267" s="1850" t="s">
        <v>28</v>
      </c>
      <c r="H267" s="1850" t="s">
        <v>28</v>
      </c>
      <c r="I267" s="1850" t="s">
        <v>914</v>
      </c>
    </row>
    <row customHeight="1" ht="11.25">
      <c r="A268" s="1850" t="s">
        <v>2249</v>
      </c>
      <c r="B268" s="1850" t="s">
        <v>16</v>
      </c>
      <c r="C268" s="1850" t="s">
        <v>2595</v>
      </c>
      <c r="D268" s="1850" t="s">
        <v>2596</v>
      </c>
      <c r="E268" s="1850" t="s">
        <v>2597</v>
      </c>
      <c r="F268" s="1850" t="s">
        <v>2373</v>
      </c>
      <c r="G268" s="1850" t="s">
        <v>28</v>
      </c>
      <c r="H268" s="1850" t="s">
        <v>28</v>
      </c>
      <c r="I268" s="1850" t="s">
        <v>914</v>
      </c>
    </row>
    <row customHeight="1" ht="11.25">
      <c r="A269" s="1850" t="s">
        <v>2249</v>
      </c>
      <c r="B269" s="1850" t="s">
        <v>16</v>
      </c>
      <c r="C269" s="1850" t="s">
        <v>2892</v>
      </c>
      <c r="D269" s="1850" t="s">
        <v>2893</v>
      </c>
      <c r="E269" s="1850" t="s">
        <v>2894</v>
      </c>
      <c r="F269" s="1850" t="s">
        <v>2343</v>
      </c>
      <c r="G269" s="1850" t="s">
        <v>28</v>
      </c>
      <c r="H269" s="1850" t="s">
        <v>28</v>
      </c>
      <c r="I269" s="1850" t="s">
        <v>914</v>
      </c>
    </row>
    <row customHeight="1" ht="11.25">
      <c r="A270" s="1850" t="s">
        <v>2249</v>
      </c>
      <c r="B270" s="1850" t="s">
        <v>16</v>
      </c>
      <c r="C270" s="1850" t="s">
        <v>2303</v>
      </c>
      <c r="D270" s="1850" t="s">
        <v>2304</v>
      </c>
      <c r="E270" s="1850" t="s">
        <v>2301</v>
      </c>
      <c r="F270" s="1850" t="s">
        <v>2305</v>
      </c>
      <c r="G270" s="1850" t="s">
        <v>28</v>
      </c>
      <c r="H270" s="1850" t="s">
        <v>28</v>
      </c>
      <c r="I270" s="1850" t="s">
        <v>914</v>
      </c>
    </row>
    <row customHeight="1" ht="11.25">
      <c r="A271" s="1850" t="s">
        <v>2249</v>
      </c>
      <c r="B271" s="1850" t="s">
        <v>16</v>
      </c>
      <c r="C271" s="1850" t="s">
        <v>2895</v>
      </c>
      <c r="D271" s="1850" t="s">
        <v>2896</v>
      </c>
      <c r="E271" s="1850" t="s">
        <v>2897</v>
      </c>
      <c r="F271" s="1850" t="s">
        <v>2898</v>
      </c>
      <c r="G271" s="1850" t="s">
        <v>28</v>
      </c>
      <c r="H271" s="1850" t="s">
        <v>28</v>
      </c>
      <c r="I271" s="1850" t="s">
        <v>914</v>
      </c>
    </row>
    <row customHeight="1" ht="11.25">
      <c r="A272" s="1850" t="s">
        <v>2249</v>
      </c>
      <c r="B272" s="1850" t="s">
        <v>16</v>
      </c>
      <c r="C272" s="1850" t="s">
        <v>2309</v>
      </c>
      <c r="D272" s="1850" t="s">
        <v>2310</v>
      </c>
      <c r="E272" s="1850" t="s">
        <v>2311</v>
      </c>
      <c r="F272" s="1850" t="s">
        <v>583</v>
      </c>
      <c r="G272" s="1850" t="s">
        <v>28</v>
      </c>
      <c r="H272" s="1850" t="s">
        <v>28</v>
      </c>
      <c r="I272" s="1850" t="s">
        <v>914</v>
      </c>
    </row>
    <row customHeight="1" ht="11.25">
      <c r="A273" s="1850" t="s">
        <v>2249</v>
      </c>
      <c r="B273" s="1850" t="s">
        <v>16</v>
      </c>
      <c r="C273" s="1850" t="s">
        <v>2899</v>
      </c>
      <c r="D273" s="1850" t="s">
        <v>2900</v>
      </c>
      <c r="E273" s="1850" t="s">
        <v>2901</v>
      </c>
      <c r="F273" s="1850" t="s">
        <v>583</v>
      </c>
      <c r="G273" s="1850" t="s">
        <v>28</v>
      </c>
      <c r="H273" s="1850" t="s">
        <v>28</v>
      </c>
      <c r="I273" s="1850" t="s">
        <v>914</v>
      </c>
    </row>
    <row customHeight="1" ht="11.25">
      <c r="A274" s="1850" t="s">
        <v>2249</v>
      </c>
      <c r="B274" s="1850" t="s">
        <v>16</v>
      </c>
      <c r="C274" s="1850" t="s">
        <v>2653</v>
      </c>
      <c r="D274" s="1850" t="s">
        <v>2654</v>
      </c>
      <c r="E274" s="1850" t="s">
        <v>2655</v>
      </c>
      <c r="F274" s="1850" t="s">
        <v>2448</v>
      </c>
      <c r="G274" s="1850" t="s">
        <v>2552</v>
      </c>
      <c r="H274" s="1850" t="s">
        <v>28</v>
      </c>
      <c r="I274" s="1850" t="s">
        <v>914</v>
      </c>
    </row>
    <row customHeight="1" ht="11.25">
      <c r="A275" s="1850" t="s">
        <v>2249</v>
      </c>
      <c r="B275" s="1850" t="s">
        <v>16</v>
      </c>
      <c r="C275" s="1850" t="s">
        <v>2659</v>
      </c>
      <c r="D275" s="1850" t="s">
        <v>2660</v>
      </c>
      <c r="E275" s="1850" t="s">
        <v>2661</v>
      </c>
      <c r="F275" s="1850" t="s">
        <v>2662</v>
      </c>
      <c r="G275" s="1850" t="s">
        <v>2663</v>
      </c>
      <c r="H275" s="1850" t="s">
        <v>28</v>
      </c>
      <c r="I275" s="1850" t="s">
        <v>914</v>
      </c>
    </row>
    <row customHeight="1" ht="11.25">
      <c r="A276" s="1850" t="s">
        <v>2249</v>
      </c>
      <c r="B276" s="1850" t="s">
        <v>16</v>
      </c>
      <c r="C276" s="1850" t="s">
        <v>2664</v>
      </c>
      <c r="D276" s="1850" t="s">
        <v>2665</v>
      </c>
      <c r="E276" s="1850" t="s">
        <v>2666</v>
      </c>
      <c r="F276" s="1850" t="s">
        <v>2667</v>
      </c>
      <c r="G276" s="1850" t="s">
        <v>28</v>
      </c>
      <c r="H276" s="1850" t="s">
        <v>28</v>
      </c>
      <c r="I276" s="1850" t="s">
        <v>914</v>
      </c>
    </row>
    <row customHeight="1" ht="11.25">
      <c r="A277" s="1850" t="s">
        <v>2249</v>
      </c>
      <c r="B277" s="1850" t="s">
        <v>16</v>
      </c>
      <c r="C277" s="1850" t="s">
        <v>28</v>
      </c>
      <c r="D277" s="1850" t="s">
        <v>2317</v>
      </c>
      <c r="E277" s="1850" t="s">
        <v>2318</v>
      </c>
      <c r="F277" s="1850" t="s">
        <v>55</v>
      </c>
      <c r="G277" s="1850" t="s">
        <v>28</v>
      </c>
      <c r="H277" s="1850" t="s">
        <v>28</v>
      </c>
      <c r="I277" s="1850" t="s">
        <v>914</v>
      </c>
    </row>
    <row customHeight="1" ht="11.25">
      <c r="A278" s="1850" t="s">
        <v>2249</v>
      </c>
      <c r="B278" s="1850" t="s">
        <v>16</v>
      </c>
      <c r="C278" s="1850" t="s">
        <v>2671</v>
      </c>
      <c r="D278" s="1850" t="s">
        <v>2672</v>
      </c>
      <c r="E278" s="1850" t="s">
        <v>2673</v>
      </c>
      <c r="F278" s="1850" t="s">
        <v>2322</v>
      </c>
      <c r="G278" s="1850" t="s">
        <v>2674</v>
      </c>
      <c r="H278" s="1850" t="s">
        <v>28</v>
      </c>
      <c r="I278" s="1850" t="s">
        <v>914</v>
      </c>
    </row>
    <row customHeight="1" ht="11.25">
      <c r="A279" s="1850" t="s">
        <v>2249</v>
      </c>
      <c r="B279" s="1850" t="s">
        <v>16</v>
      </c>
      <c r="C279" s="1850" t="s">
        <v>2675</v>
      </c>
      <c r="D279" s="1850" t="s">
        <v>2676</v>
      </c>
      <c r="E279" s="1850" t="s">
        <v>2677</v>
      </c>
      <c r="F279" s="1850" t="s">
        <v>2631</v>
      </c>
      <c r="G279" s="1850" t="s">
        <v>2678</v>
      </c>
      <c r="H279" s="1850" t="s">
        <v>28</v>
      </c>
      <c r="I279" s="1850" t="s">
        <v>914</v>
      </c>
    </row>
    <row customHeight="1" ht="11.25">
      <c r="A280" s="1850" t="s">
        <v>2249</v>
      </c>
      <c r="B280" s="1850" t="s">
        <v>16</v>
      </c>
      <c r="C280" s="1850" t="s">
        <v>2686</v>
      </c>
      <c r="D280" s="1850" t="s">
        <v>2687</v>
      </c>
      <c r="E280" s="1850" t="s">
        <v>2688</v>
      </c>
      <c r="F280" s="1850" t="s">
        <v>2448</v>
      </c>
      <c r="G280" s="1850" t="s">
        <v>28</v>
      </c>
      <c r="H280" s="1850" t="s">
        <v>28</v>
      </c>
      <c r="I280" s="1850" t="s">
        <v>914</v>
      </c>
    </row>
    <row customHeight="1" ht="11.25">
      <c r="A281" s="1850" t="s">
        <v>2249</v>
      </c>
      <c r="B281" s="1850" t="s">
        <v>16</v>
      </c>
      <c r="C281" s="1850" t="s">
        <v>2689</v>
      </c>
      <c r="D281" s="1850" t="s">
        <v>2690</v>
      </c>
      <c r="E281" s="1850" t="s">
        <v>2691</v>
      </c>
      <c r="F281" s="1850" t="s">
        <v>2373</v>
      </c>
      <c r="G281" s="1850" t="s">
        <v>28</v>
      </c>
      <c r="H281" s="1850" t="s">
        <v>28</v>
      </c>
      <c r="I281" s="1850" t="s">
        <v>914</v>
      </c>
    </row>
    <row customHeight="1" ht="11.25">
      <c r="A282" s="1850" t="s">
        <v>2249</v>
      </c>
      <c r="B282" s="1850" t="s">
        <v>16</v>
      </c>
      <c r="C282" s="1850" t="s">
        <v>2692</v>
      </c>
      <c r="D282" s="1850" t="s">
        <v>2693</v>
      </c>
      <c r="E282" s="1850" t="s">
        <v>2694</v>
      </c>
      <c r="F282" s="1850" t="s">
        <v>2695</v>
      </c>
      <c r="G282" s="1850" t="s">
        <v>28</v>
      </c>
      <c r="H282" s="1850" t="s">
        <v>28</v>
      </c>
      <c r="I282" s="1850" t="s">
        <v>914</v>
      </c>
    </row>
    <row customHeight="1" ht="11.25">
      <c r="A283" s="1850" t="s">
        <v>2249</v>
      </c>
      <c r="B283" s="1850" t="s">
        <v>16</v>
      </c>
      <c r="C283" s="1850" t="s">
        <v>2696</v>
      </c>
      <c r="D283" s="1850" t="s">
        <v>2697</v>
      </c>
      <c r="E283" s="1850" t="s">
        <v>2698</v>
      </c>
      <c r="F283" s="1850" t="s">
        <v>2343</v>
      </c>
      <c r="G283" s="1850" t="s">
        <v>28</v>
      </c>
      <c r="H283" s="1850" t="s">
        <v>28</v>
      </c>
      <c r="I283" s="1850" t="s">
        <v>914</v>
      </c>
    </row>
    <row customHeight="1" ht="11.25">
      <c r="A284" s="1850" t="s">
        <v>2249</v>
      </c>
      <c r="B284" s="1850" t="s">
        <v>16</v>
      </c>
      <c r="C284" s="1850" t="s">
        <v>2333</v>
      </c>
      <c r="D284" s="1850" t="s">
        <v>2334</v>
      </c>
      <c r="E284" s="1850" t="s">
        <v>2335</v>
      </c>
      <c r="F284" s="1850" t="s">
        <v>2336</v>
      </c>
      <c r="G284" s="1850" t="s">
        <v>28</v>
      </c>
      <c r="H284" s="1850" t="s">
        <v>28</v>
      </c>
      <c r="I284" s="1850" t="s">
        <v>914</v>
      </c>
    </row>
    <row customHeight="1" ht="11.25">
      <c r="A285" s="1850" t="s">
        <v>2249</v>
      </c>
      <c r="B285" s="1850" t="s">
        <v>16</v>
      </c>
      <c r="C285" s="1850" t="s">
        <v>2699</v>
      </c>
      <c r="D285" s="1850" t="s">
        <v>2700</v>
      </c>
      <c r="E285" s="1850" t="s">
        <v>2701</v>
      </c>
      <c r="F285" s="1850" t="s">
        <v>2336</v>
      </c>
      <c r="G285" s="1850" t="s">
        <v>28</v>
      </c>
      <c r="H285" s="1850" t="s">
        <v>2702</v>
      </c>
      <c r="I285" s="1850" t="s">
        <v>914</v>
      </c>
    </row>
    <row customHeight="1" ht="11.25">
      <c r="A286" s="1850" t="s">
        <v>2249</v>
      </c>
      <c r="B286" s="1850" t="s">
        <v>16</v>
      </c>
      <c r="C286" s="1850" t="s">
        <v>2706</v>
      </c>
      <c r="D286" s="1850" t="s">
        <v>2707</v>
      </c>
      <c r="E286" s="1850" t="s">
        <v>2708</v>
      </c>
      <c r="F286" s="1850" t="s">
        <v>2343</v>
      </c>
      <c r="G286" s="1850" t="s">
        <v>28</v>
      </c>
      <c r="H286" s="1850" t="s">
        <v>2709</v>
      </c>
      <c r="I286" s="1850" t="s">
        <v>914</v>
      </c>
    </row>
    <row customHeight="1" ht="11.25">
      <c r="A287" s="1850" t="s">
        <v>2249</v>
      </c>
      <c r="B287" s="1850" t="s">
        <v>16</v>
      </c>
      <c r="C287" s="1850" t="s">
        <v>2710</v>
      </c>
      <c r="D287" s="1850" t="s">
        <v>2711</v>
      </c>
      <c r="E287" s="1850" t="s">
        <v>2712</v>
      </c>
      <c r="F287" s="1850" t="s">
        <v>2507</v>
      </c>
      <c r="G287" s="1850" t="s">
        <v>2713</v>
      </c>
      <c r="H287" s="1850" t="s">
        <v>28</v>
      </c>
      <c r="I287" s="1850" t="s">
        <v>914</v>
      </c>
    </row>
    <row customHeight="1" ht="11.25">
      <c r="A288" s="1850" t="s">
        <v>2249</v>
      </c>
      <c r="B288" s="1850" t="s">
        <v>16</v>
      </c>
      <c r="C288" s="1850" t="s">
        <v>2714</v>
      </c>
      <c r="D288" s="1850" t="s">
        <v>2715</v>
      </c>
      <c r="E288" s="1850" t="s">
        <v>2716</v>
      </c>
      <c r="F288" s="1850" t="s">
        <v>2511</v>
      </c>
      <c r="G288" s="1850" t="s">
        <v>2717</v>
      </c>
      <c r="H288" s="1850" t="s">
        <v>28</v>
      </c>
      <c r="I288" s="1850" t="s">
        <v>914</v>
      </c>
    </row>
    <row customHeight="1" ht="11.25">
      <c r="A289" s="1850" t="s">
        <v>2249</v>
      </c>
      <c r="B289" s="1850" t="s">
        <v>16</v>
      </c>
      <c r="C289" s="1850" t="s">
        <v>2344</v>
      </c>
      <c r="D289" s="1850" t="s">
        <v>2345</v>
      </c>
      <c r="E289" s="1850" t="s">
        <v>2346</v>
      </c>
      <c r="F289" s="1850" t="s">
        <v>2336</v>
      </c>
      <c r="G289" s="1850" t="s">
        <v>28</v>
      </c>
      <c r="H289" s="1850" t="s">
        <v>28</v>
      </c>
      <c r="I289" s="1850" t="s">
        <v>914</v>
      </c>
    </row>
    <row customHeight="1" ht="11.25">
      <c r="A290" s="1850" t="s">
        <v>2249</v>
      </c>
      <c r="B290" s="1850" t="s">
        <v>16</v>
      </c>
      <c r="C290" s="1850" t="s">
        <v>2718</v>
      </c>
      <c r="D290" s="1850" t="s">
        <v>2719</v>
      </c>
      <c r="E290" s="1850" t="s">
        <v>2720</v>
      </c>
      <c r="F290" s="1850" t="s">
        <v>2356</v>
      </c>
      <c r="G290" s="1850" t="s">
        <v>28</v>
      </c>
      <c r="H290" s="1850" t="s">
        <v>28</v>
      </c>
      <c r="I290" s="1850" t="s">
        <v>914</v>
      </c>
    </row>
    <row customHeight="1" ht="11.25">
      <c r="A291" s="1850" t="s">
        <v>2249</v>
      </c>
      <c r="B291" s="1850" t="s">
        <v>16</v>
      </c>
      <c r="C291" s="1850" t="s">
        <v>2721</v>
      </c>
      <c r="D291" s="1850" t="s">
        <v>2722</v>
      </c>
      <c r="E291" s="1850" t="s">
        <v>2723</v>
      </c>
      <c r="F291" s="1850" t="s">
        <v>2448</v>
      </c>
      <c r="G291" s="1850" t="s">
        <v>2724</v>
      </c>
      <c r="H291" s="1850" t="s">
        <v>28</v>
      </c>
      <c r="I291" s="1850" t="s">
        <v>914</v>
      </c>
    </row>
    <row customHeight="1" ht="11.25">
      <c r="A292" s="1850" t="s">
        <v>2249</v>
      </c>
      <c r="B292" s="1850" t="s">
        <v>16</v>
      </c>
      <c r="C292" s="1850" t="s">
        <v>2725</v>
      </c>
      <c r="D292" s="1850" t="s">
        <v>2726</v>
      </c>
      <c r="E292" s="1850" t="s">
        <v>2727</v>
      </c>
      <c r="F292" s="1850" t="s">
        <v>2336</v>
      </c>
      <c r="G292" s="1850" t="s">
        <v>2728</v>
      </c>
      <c r="H292" s="1850" t="s">
        <v>2729</v>
      </c>
      <c r="I292" s="1850" t="s">
        <v>914</v>
      </c>
    </row>
    <row customHeight="1" ht="11.25">
      <c r="A293" s="1850" t="s">
        <v>2249</v>
      </c>
      <c r="B293" s="1850" t="s">
        <v>16</v>
      </c>
      <c r="C293" s="1850" t="s">
        <v>2734</v>
      </c>
      <c r="D293" s="1850" t="s">
        <v>2735</v>
      </c>
      <c r="E293" s="1850" t="s">
        <v>2736</v>
      </c>
      <c r="F293" s="1850" t="s">
        <v>55</v>
      </c>
      <c r="G293" s="1850" t="s">
        <v>28</v>
      </c>
      <c r="H293" s="1850" t="s">
        <v>28</v>
      </c>
      <c r="I293" s="1850" t="s">
        <v>914</v>
      </c>
    </row>
    <row customHeight="1" ht="11.25">
      <c r="A294" s="1850" t="s">
        <v>2249</v>
      </c>
      <c r="B294" s="1850" t="s">
        <v>16</v>
      </c>
      <c r="C294" s="1850" t="s">
        <v>2737</v>
      </c>
      <c r="D294" s="1850" t="s">
        <v>2738</v>
      </c>
      <c r="E294" s="1850" t="s">
        <v>2739</v>
      </c>
      <c r="F294" s="1850" t="s">
        <v>2336</v>
      </c>
      <c r="G294" s="1850" t="s">
        <v>28</v>
      </c>
      <c r="H294" s="1850" t="s">
        <v>28</v>
      </c>
      <c r="I294" s="1850" t="s">
        <v>914</v>
      </c>
    </row>
    <row customHeight="1" ht="11.25">
      <c r="A295" s="1850" t="s">
        <v>2249</v>
      </c>
      <c r="B295" s="1850" t="s">
        <v>16</v>
      </c>
      <c r="C295" s="1850" t="s">
        <v>2347</v>
      </c>
      <c r="D295" s="1850" t="s">
        <v>2348</v>
      </c>
      <c r="E295" s="1850" t="s">
        <v>2349</v>
      </c>
      <c r="F295" s="1850" t="s">
        <v>2327</v>
      </c>
      <c r="G295" s="1850" t="s">
        <v>28</v>
      </c>
      <c r="H295" s="1850" t="s">
        <v>28</v>
      </c>
      <c r="I295" s="1850" t="s">
        <v>914</v>
      </c>
    </row>
    <row customHeight="1" ht="11.25">
      <c r="A296" s="1850" t="s">
        <v>2249</v>
      </c>
      <c r="B296" s="1850" t="s">
        <v>16</v>
      </c>
      <c r="C296" s="1850" t="s">
        <v>2740</v>
      </c>
      <c r="D296" s="1850" t="s">
        <v>2741</v>
      </c>
      <c r="E296" s="1850" t="s">
        <v>2742</v>
      </c>
      <c r="F296" s="1850" t="s">
        <v>2287</v>
      </c>
      <c r="G296" s="1850" t="s">
        <v>28</v>
      </c>
      <c r="H296" s="1850" t="s">
        <v>28</v>
      </c>
      <c r="I296" s="1850" t="s">
        <v>914</v>
      </c>
    </row>
    <row customHeight="1" ht="11.25">
      <c r="A297" s="1850" t="s">
        <v>2249</v>
      </c>
      <c r="B297" s="1850" t="s">
        <v>16</v>
      </c>
      <c r="C297" s="1850" t="s">
        <v>2743</v>
      </c>
      <c r="D297" s="1850" t="s">
        <v>2744</v>
      </c>
      <c r="E297" s="1850" t="s">
        <v>2745</v>
      </c>
      <c r="F297" s="1850" t="s">
        <v>2343</v>
      </c>
      <c r="G297" s="1850" t="s">
        <v>28</v>
      </c>
      <c r="H297" s="1850" t="s">
        <v>2746</v>
      </c>
      <c r="I297" s="1850" t="s">
        <v>914</v>
      </c>
    </row>
    <row customHeight="1" ht="11.25">
      <c r="A298" s="1850" t="s">
        <v>2249</v>
      </c>
      <c r="B298" s="1850" t="s">
        <v>16</v>
      </c>
      <c r="C298" s="1850" t="s">
        <v>2350</v>
      </c>
      <c r="D298" s="1850" t="s">
        <v>2351</v>
      </c>
      <c r="E298" s="1850" t="s">
        <v>2352</v>
      </c>
      <c r="F298" s="1850" t="s">
        <v>2343</v>
      </c>
      <c r="G298" s="1850" t="s">
        <v>28</v>
      </c>
      <c r="H298" s="1850" t="s">
        <v>28</v>
      </c>
      <c r="I298" s="1850" t="s">
        <v>914</v>
      </c>
    </row>
    <row customHeight="1" ht="11.25">
      <c r="A299" s="1850" t="s">
        <v>2249</v>
      </c>
      <c r="B299" s="1850" t="s">
        <v>16</v>
      </c>
      <c r="C299" s="1850" t="s">
        <v>2363</v>
      </c>
      <c r="D299" s="1850" t="s">
        <v>2364</v>
      </c>
      <c r="E299" s="1850" t="s">
        <v>2365</v>
      </c>
      <c r="F299" s="1850" t="s">
        <v>2356</v>
      </c>
      <c r="G299" s="1850" t="s">
        <v>2366</v>
      </c>
      <c r="H299" s="1850" t="s">
        <v>28</v>
      </c>
      <c r="I299" s="1850" t="s">
        <v>914</v>
      </c>
    </row>
    <row customHeight="1" ht="11.25">
      <c r="A300" s="1850" t="s">
        <v>2249</v>
      </c>
      <c r="B300" s="1850" t="s">
        <v>16</v>
      </c>
      <c r="C300" s="1850" t="s">
        <v>2759</v>
      </c>
      <c r="D300" s="1850" t="s">
        <v>2760</v>
      </c>
      <c r="E300" s="1850" t="s">
        <v>2761</v>
      </c>
      <c r="F300" s="1850" t="s">
        <v>2373</v>
      </c>
      <c r="G300" s="1850" t="s">
        <v>28</v>
      </c>
      <c r="H300" s="1850" t="s">
        <v>28</v>
      </c>
      <c r="I300" s="1850" t="s">
        <v>914</v>
      </c>
    </row>
    <row customHeight="1" ht="11.25">
      <c r="A301" s="1850" t="s">
        <v>2249</v>
      </c>
      <c r="B301" s="1850" t="s">
        <v>16</v>
      </c>
      <c r="C301" s="1850" t="s">
        <v>2367</v>
      </c>
      <c r="D301" s="1850" t="s">
        <v>2368</v>
      </c>
      <c r="E301" s="1850" t="s">
        <v>2369</v>
      </c>
      <c r="F301" s="1850" t="s">
        <v>2257</v>
      </c>
      <c r="G301" s="1850" t="s">
        <v>28</v>
      </c>
      <c r="H301" s="1850" t="s">
        <v>28</v>
      </c>
      <c r="I301" s="1850" t="s">
        <v>914</v>
      </c>
    </row>
    <row customHeight="1" ht="11.25">
      <c r="A302" s="1850" t="s">
        <v>2249</v>
      </c>
      <c r="B302" s="1850" t="s">
        <v>16</v>
      </c>
      <c r="C302" s="1850" t="s">
        <v>2769</v>
      </c>
      <c r="D302" s="1850" t="s">
        <v>2770</v>
      </c>
      <c r="E302" s="1850" t="s">
        <v>2771</v>
      </c>
      <c r="F302" s="1850" t="s">
        <v>2486</v>
      </c>
      <c r="G302" s="1850" t="s">
        <v>28</v>
      </c>
      <c r="H302" s="1850" t="s">
        <v>28</v>
      </c>
      <c r="I302" s="1850" t="s">
        <v>914</v>
      </c>
    </row>
    <row customHeight="1" ht="11.25">
      <c r="A303" s="1850" t="s">
        <v>2249</v>
      </c>
      <c r="B303" s="1850" t="s">
        <v>16</v>
      </c>
      <c r="C303" s="1850" t="s">
        <v>2785</v>
      </c>
      <c r="D303" s="1850" t="s">
        <v>2786</v>
      </c>
      <c r="E303" s="1850" t="s">
        <v>2787</v>
      </c>
      <c r="F303" s="1850" t="s">
        <v>2373</v>
      </c>
      <c r="G303" s="1850" t="s">
        <v>28</v>
      </c>
      <c r="H303" s="1850" t="s">
        <v>28</v>
      </c>
      <c r="I303" s="1850" t="s">
        <v>914</v>
      </c>
    </row>
    <row customHeight="1" ht="11.25">
      <c r="A304" s="1850" t="s">
        <v>2249</v>
      </c>
      <c r="B304" s="1850" t="s">
        <v>16</v>
      </c>
      <c r="C304" s="1850" t="s">
        <v>2788</v>
      </c>
      <c r="D304" s="1850" t="s">
        <v>2789</v>
      </c>
      <c r="E304" s="1850" t="s">
        <v>2790</v>
      </c>
      <c r="F304" s="1850" t="s">
        <v>2361</v>
      </c>
      <c r="G304" s="1850" t="s">
        <v>2791</v>
      </c>
      <c r="H304" s="1850" t="s">
        <v>28</v>
      </c>
      <c r="I304" s="1850" t="s">
        <v>914</v>
      </c>
    </row>
    <row customHeight="1" ht="11.25">
      <c r="A305" s="1850" t="s">
        <v>2249</v>
      </c>
      <c r="B305" s="1850" t="s">
        <v>16</v>
      </c>
      <c r="C305" s="1850" t="s">
        <v>2792</v>
      </c>
      <c r="D305" s="1850" t="s">
        <v>2399</v>
      </c>
      <c r="E305" s="1850" t="s">
        <v>2400</v>
      </c>
      <c r="F305" s="1850" t="s">
        <v>2343</v>
      </c>
      <c r="G305" s="1850" t="s">
        <v>28</v>
      </c>
      <c r="H305" s="1850" t="s">
        <v>28</v>
      </c>
      <c r="I305" s="1850" t="s">
        <v>914</v>
      </c>
    </row>
    <row customHeight="1" ht="11.25">
      <c r="A306" s="1850" t="s">
        <v>2249</v>
      </c>
      <c r="B306" s="1850" t="s">
        <v>16</v>
      </c>
      <c r="C306" s="1850" t="s">
        <v>2398</v>
      </c>
      <c r="D306" s="1850" t="s">
        <v>2399</v>
      </c>
      <c r="E306" s="1850" t="s">
        <v>2400</v>
      </c>
      <c r="F306" s="1850" t="s">
        <v>2401</v>
      </c>
      <c r="G306" s="1850" t="s">
        <v>28</v>
      </c>
      <c r="H306" s="1850" t="s">
        <v>28</v>
      </c>
      <c r="I306" s="1850" t="s">
        <v>914</v>
      </c>
    </row>
    <row customHeight="1" ht="11.25">
      <c r="A307" s="1850" t="s">
        <v>2249</v>
      </c>
      <c r="B307" s="1850" t="s">
        <v>16</v>
      </c>
      <c r="C307" s="1850" t="s">
        <v>2793</v>
      </c>
      <c r="D307" s="1850" t="s">
        <v>2794</v>
      </c>
      <c r="E307" s="1850" t="s">
        <v>2795</v>
      </c>
      <c r="F307" s="1850" t="s">
        <v>2444</v>
      </c>
      <c r="G307" s="1850" t="s">
        <v>28</v>
      </c>
      <c r="H307" s="1850" t="s">
        <v>28</v>
      </c>
      <c r="I307" s="1850" t="s">
        <v>914</v>
      </c>
    </row>
    <row customHeight="1" ht="11.25">
      <c r="A308" s="1850" t="s">
        <v>2249</v>
      </c>
      <c r="B308" s="1850" t="s">
        <v>16</v>
      </c>
      <c r="C308" s="1850" t="s">
        <v>2796</v>
      </c>
      <c r="D308" s="1850" t="s">
        <v>2797</v>
      </c>
      <c r="E308" s="1850" t="s">
        <v>2798</v>
      </c>
      <c r="F308" s="1850" t="s">
        <v>2287</v>
      </c>
      <c r="G308" s="1850" t="s">
        <v>28</v>
      </c>
      <c r="H308" s="1850" t="s">
        <v>28</v>
      </c>
      <c r="I308" s="1850" t="s">
        <v>914</v>
      </c>
    </row>
    <row customHeight="1" ht="11.25">
      <c r="A309" s="1850" t="s">
        <v>2249</v>
      </c>
      <c r="B309" s="1850" t="s">
        <v>16</v>
      </c>
      <c r="C309" s="1850" t="s">
        <v>2799</v>
      </c>
      <c r="D309" s="1850" t="s">
        <v>2800</v>
      </c>
      <c r="E309" s="1850" t="s">
        <v>2801</v>
      </c>
      <c r="F309" s="1850" t="s">
        <v>2336</v>
      </c>
      <c r="G309" s="1850" t="s">
        <v>28</v>
      </c>
      <c r="H309" s="1850" t="s">
        <v>28</v>
      </c>
      <c r="I309" s="1850" t="s">
        <v>914</v>
      </c>
    </row>
    <row customHeight="1" ht="11.25">
      <c r="A310" s="1850" t="s">
        <v>2249</v>
      </c>
      <c r="B310" s="1850" t="s">
        <v>16</v>
      </c>
      <c r="C310" s="1850" t="s">
        <v>2802</v>
      </c>
      <c r="D310" s="1850" t="s">
        <v>2803</v>
      </c>
      <c r="E310" s="1850" t="s">
        <v>2804</v>
      </c>
      <c r="F310" s="1850" t="s">
        <v>2695</v>
      </c>
      <c r="G310" s="1850" t="s">
        <v>28</v>
      </c>
      <c r="H310" s="1850" t="s">
        <v>2469</v>
      </c>
      <c r="I310" s="1850" t="s">
        <v>914</v>
      </c>
    </row>
    <row customHeight="1" ht="11.25">
      <c r="A311" s="1850" t="s">
        <v>2249</v>
      </c>
      <c r="B311" s="1850" t="s">
        <v>16</v>
      </c>
      <c r="C311" s="1850" t="s">
        <v>2805</v>
      </c>
      <c r="D311" s="1850" t="s">
        <v>2806</v>
      </c>
      <c r="E311" s="1850" t="s">
        <v>2807</v>
      </c>
      <c r="F311" s="1850" t="s">
        <v>2426</v>
      </c>
      <c r="G311" s="1850" t="s">
        <v>28</v>
      </c>
      <c r="H311" s="1850" t="s">
        <v>28</v>
      </c>
      <c r="I311" s="1850" t="s">
        <v>914</v>
      </c>
    </row>
    <row customHeight="1" ht="11.25">
      <c r="A312" s="1850" t="s">
        <v>2249</v>
      </c>
      <c r="B312" s="1850" t="s">
        <v>16</v>
      </c>
      <c r="C312" s="1850" t="s">
        <v>2405</v>
      </c>
      <c r="D312" s="1850" t="s">
        <v>2406</v>
      </c>
      <c r="E312" s="1850" t="s">
        <v>2407</v>
      </c>
      <c r="F312" s="1850" t="s">
        <v>2408</v>
      </c>
      <c r="G312" s="1850" t="s">
        <v>28</v>
      </c>
      <c r="H312" s="1850" t="s">
        <v>28</v>
      </c>
      <c r="I312" s="1850" t="s">
        <v>914</v>
      </c>
    </row>
    <row customHeight="1" ht="11.25">
      <c r="A313" s="1850" t="s">
        <v>2249</v>
      </c>
      <c r="B313" s="1850" t="s">
        <v>16</v>
      </c>
      <c r="C313" s="1850" t="s">
        <v>2808</v>
      </c>
      <c r="D313" s="1850" t="s">
        <v>2809</v>
      </c>
      <c r="E313" s="1850" t="s">
        <v>2810</v>
      </c>
      <c r="F313" s="1850" t="s">
        <v>2408</v>
      </c>
      <c r="G313" s="1850" t="s">
        <v>28</v>
      </c>
      <c r="H313" s="1850" t="s">
        <v>2682</v>
      </c>
      <c r="I313" s="1850" t="s">
        <v>914</v>
      </c>
    </row>
    <row customHeight="1" ht="11.25">
      <c r="A314" s="1850" t="s">
        <v>2249</v>
      </c>
      <c r="B314" s="1850" t="s">
        <v>16</v>
      </c>
      <c r="C314" s="1850" t="s">
        <v>2811</v>
      </c>
      <c r="D314" s="1850" t="s">
        <v>2812</v>
      </c>
      <c r="E314" s="1850" t="s">
        <v>2813</v>
      </c>
      <c r="F314" s="1850" t="s">
        <v>2511</v>
      </c>
      <c r="G314" s="1850" t="s">
        <v>28</v>
      </c>
      <c r="H314" s="1850" t="s">
        <v>28</v>
      </c>
      <c r="I314" s="1850" t="s">
        <v>914</v>
      </c>
    </row>
    <row customHeight="1" ht="11.25">
      <c r="A315" s="1850" t="s">
        <v>2249</v>
      </c>
      <c r="B315" s="1850" t="s">
        <v>16</v>
      </c>
      <c r="C315" s="1850" t="s">
        <v>2822</v>
      </c>
      <c r="D315" s="1850" t="s">
        <v>2823</v>
      </c>
      <c r="E315" s="1850" t="s">
        <v>2824</v>
      </c>
      <c r="F315" s="1850" t="s">
        <v>2825</v>
      </c>
      <c r="G315" s="1850" t="s">
        <v>28</v>
      </c>
      <c r="H315" s="1850" t="s">
        <v>28</v>
      </c>
      <c r="I315" s="1850" t="s">
        <v>914</v>
      </c>
    </row>
    <row customHeight="1" ht="11.25">
      <c r="A316" s="1850" t="s">
        <v>2249</v>
      </c>
      <c r="B316" s="1850" t="s">
        <v>16</v>
      </c>
      <c r="C316" s="1850" t="s">
        <v>2427</v>
      </c>
      <c r="D316" s="1850" t="s">
        <v>2428</v>
      </c>
      <c r="E316" s="1850" t="s">
        <v>2429</v>
      </c>
      <c r="F316" s="1850" t="s">
        <v>2343</v>
      </c>
      <c r="G316" s="1850" t="s">
        <v>28</v>
      </c>
      <c r="H316" s="1850" t="s">
        <v>28</v>
      </c>
      <c r="I316" s="1850" t="s">
        <v>914</v>
      </c>
    </row>
    <row customHeight="1" ht="11.25">
      <c r="A317" s="1850" t="s">
        <v>2249</v>
      </c>
      <c r="B317" s="1850" t="s">
        <v>16</v>
      </c>
      <c r="C317" s="1850" t="s">
        <v>2430</v>
      </c>
      <c r="D317" s="1850" t="s">
        <v>2431</v>
      </c>
      <c r="E317" s="1850" t="s">
        <v>2432</v>
      </c>
      <c r="F317" s="1850" t="s">
        <v>2433</v>
      </c>
      <c r="G317" s="1850" t="s">
        <v>2434</v>
      </c>
      <c r="H317" s="1850" t="s">
        <v>28</v>
      </c>
      <c r="I317" s="1850" t="s">
        <v>914</v>
      </c>
    </row>
    <row customHeight="1" ht="11.25">
      <c r="A318" s="1850" t="s">
        <v>2249</v>
      </c>
      <c r="B318" s="1850" t="s">
        <v>16</v>
      </c>
      <c r="C318" s="1850" t="s">
        <v>2435</v>
      </c>
      <c r="D318" s="1850" t="s">
        <v>2436</v>
      </c>
      <c r="E318" s="1850" t="s">
        <v>2437</v>
      </c>
      <c r="F318" s="1850" t="s">
        <v>55</v>
      </c>
      <c r="G318" s="1850" t="s">
        <v>28</v>
      </c>
      <c r="H318" s="1850" t="s">
        <v>28</v>
      </c>
      <c r="I318" s="1850" t="s">
        <v>914</v>
      </c>
    </row>
    <row customHeight="1" ht="11.25">
      <c r="A319" s="1850" t="s">
        <v>2249</v>
      </c>
      <c r="B319" s="1850" t="s">
        <v>16</v>
      </c>
      <c r="C319" s="1850" t="s">
        <v>2902</v>
      </c>
      <c r="D319" s="1850" t="s">
        <v>2903</v>
      </c>
      <c r="E319" s="1850" t="s">
        <v>2904</v>
      </c>
      <c r="F319" s="1850" t="s">
        <v>55</v>
      </c>
      <c r="G319" s="1850" t="s">
        <v>28</v>
      </c>
      <c r="H319" s="1850" t="s">
        <v>28</v>
      </c>
      <c r="I319" s="1850" t="s">
        <v>914</v>
      </c>
    </row>
    <row customHeight="1" ht="11.25">
      <c r="A320" s="1850" t="s">
        <v>2249</v>
      </c>
      <c r="B320" s="1850" t="s">
        <v>16</v>
      </c>
      <c r="C320" s="1850" t="s">
        <v>2905</v>
      </c>
      <c r="D320" s="1850" t="s">
        <v>2906</v>
      </c>
      <c r="E320" s="1850" t="s">
        <v>2907</v>
      </c>
      <c r="F320" s="1850" t="s">
        <v>2908</v>
      </c>
      <c r="G320" s="1850" t="s">
        <v>28</v>
      </c>
      <c r="H320" s="1850" t="s">
        <v>28</v>
      </c>
      <c r="I320" s="1850" t="s">
        <v>914</v>
      </c>
    </row>
    <row customHeight="1" ht="11.25">
      <c r="A321" s="1850" t="s">
        <v>2249</v>
      </c>
      <c r="B321" s="1850" t="s">
        <v>16</v>
      </c>
      <c r="C321" s="1850" t="s">
        <v>2454</v>
      </c>
      <c r="D321" s="1850" t="s">
        <v>2455</v>
      </c>
      <c r="E321" s="1850" t="s">
        <v>2456</v>
      </c>
      <c r="F321" s="1850" t="s">
        <v>2257</v>
      </c>
      <c r="G321" s="1850" t="s">
        <v>28</v>
      </c>
      <c r="H321" s="1850" t="s">
        <v>28</v>
      </c>
      <c r="I321" s="1850" t="s">
        <v>914</v>
      </c>
    </row>
    <row customHeight="1" ht="11.25">
      <c r="A322" s="1850" t="s">
        <v>2249</v>
      </c>
      <c r="B322" s="1850" t="s">
        <v>16</v>
      </c>
      <c r="C322" s="1850" t="s">
        <v>2457</v>
      </c>
      <c r="D322" s="1850" t="s">
        <v>2458</v>
      </c>
      <c r="E322" s="1850" t="s">
        <v>2459</v>
      </c>
      <c r="F322" s="1850" t="s">
        <v>2257</v>
      </c>
      <c r="G322" s="1850" t="s">
        <v>2460</v>
      </c>
      <c r="H322" s="1850" t="s">
        <v>28</v>
      </c>
      <c r="I322" s="1850" t="s">
        <v>914</v>
      </c>
    </row>
    <row customHeight="1" ht="11.25">
      <c r="A323" s="1850" t="s">
        <v>2249</v>
      </c>
      <c r="B323" s="1850" t="s">
        <v>16</v>
      </c>
      <c r="C323" s="1850" t="s">
        <v>2461</v>
      </c>
      <c r="D323" s="1850" t="s">
        <v>2462</v>
      </c>
      <c r="E323" s="1850" t="s">
        <v>2463</v>
      </c>
      <c r="F323" s="1850" t="s">
        <v>2464</v>
      </c>
      <c r="G323" s="1850" t="s">
        <v>28</v>
      </c>
      <c r="H323" s="1850" t="s">
        <v>28</v>
      </c>
      <c r="I323" s="1850" t="s">
        <v>914</v>
      </c>
    </row>
    <row customHeight="1" ht="11.25">
      <c r="A324" s="1850" t="s">
        <v>2249</v>
      </c>
      <c r="B324" s="1850" t="s">
        <v>16</v>
      </c>
      <c r="C324" s="1850" t="s">
        <v>2470</v>
      </c>
      <c r="D324" s="1850" t="s">
        <v>2471</v>
      </c>
      <c r="E324" s="1850" t="s">
        <v>2472</v>
      </c>
      <c r="F324" s="1850" t="s">
        <v>2322</v>
      </c>
      <c r="G324" s="1850" t="s">
        <v>28</v>
      </c>
      <c r="H324" s="1850" t="s">
        <v>28</v>
      </c>
      <c r="I324" s="1850" t="s">
        <v>914</v>
      </c>
    </row>
    <row customHeight="1" ht="11.25">
      <c r="A325" s="1850" t="s">
        <v>2249</v>
      </c>
      <c r="B325" s="1850" t="s">
        <v>16</v>
      </c>
      <c r="C325" s="1850" t="s">
        <v>2476</v>
      </c>
      <c r="D325" s="1850" t="s">
        <v>2477</v>
      </c>
      <c r="E325" s="1850" t="s">
        <v>2478</v>
      </c>
      <c r="F325" s="1850" t="s">
        <v>2253</v>
      </c>
      <c r="G325" s="1850" t="s">
        <v>28</v>
      </c>
      <c r="H325" s="1850" t="s">
        <v>28</v>
      </c>
      <c r="I325" s="1850" t="s">
        <v>914</v>
      </c>
    </row>
    <row customHeight="1" ht="11.25">
      <c r="A326" s="1850" t="s">
        <v>2249</v>
      </c>
      <c r="B326" s="1850" t="s">
        <v>16</v>
      </c>
      <c r="C326" s="1850" t="s">
        <v>2835</v>
      </c>
      <c r="D326" s="1850" t="s">
        <v>2836</v>
      </c>
      <c r="E326" s="1850" t="s">
        <v>2837</v>
      </c>
      <c r="F326" s="1850" t="s">
        <v>2576</v>
      </c>
      <c r="G326" s="1850" t="s">
        <v>28</v>
      </c>
      <c r="H326" s="1850" t="s">
        <v>28</v>
      </c>
      <c r="I326" s="1850" t="s">
        <v>914</v>
      </c>
    </row>
    <row customHeight="1" ht="11.25">
      <c r="A327" s="1850" t="s">
        <v>2249</v>
      </c>
      <c r="B327" s="1850" t="s">
        <v>16</v>
      </c>
      <c r="C327" s="1850" t="s">
        <v>2838</v>
      </c>
      <c r="D327" s="1850" t="s">
        <v>2839</v>
      </c>
      <c r="E327" s="1850" t="s">
        <v>2840</v>
      </c>
      <c r="F327" s="1850" t="s">
        <v>2464</v>
      </c>
      <c r="G327" s="1850" t="s">
        <v>2841</v>
      </c>
      <c r="H327" s="1850" t="s">
        <v>28</v>
      </c>
      <c r="I327" s="1850" t="s">
        <v>914</v>
      </c>
    </row>
    <row customHeight="1" ht="11.25">
      <c r="A328" s="1850" t="s">
        <v>2249</v>
      </c>
      <c r="B328" s="1850" t="s">
        <v>16</v>
      </c>
      <c r="C328" s="1850" t="s">
        <v>2479</v>
      </c>
      <c r="D328" s="1850" t="s">
        <v>2480</v>
      </c>
      <c r="E328" s="1850" t="s">
        <v>2481</v>
      </c>
      <c r="F328" s="1850" t="s">
        <v>2482</v>
      </c>
      <c r="G328" s="1850" t="s">
        <v>28</v>
      </c>
      <c r="H328" s="1850" t="s">
        <v>28</v>
      </c>
      <c r="I328" s="1850" t="s">
        <v>914</v>
      </c>
    </row>
    <row customHeight="1" ht="11.25">
      <c r="A329" s="1850" t="s">
        <v>2249</v>
      </c>
      <c r="B329" s="1850" t="s">
        <v>16</v>
      </c>
      <c r="C329" s="1850" t="s">
        <v>2847</v>
      </c>
      <c r="D329" s="1850" t="s">
        <v>2848</v>
      </c>
      <c r="E329" s="1850" t="s">
        <v>2849</v>
      </c>
      <c r="F329" s="1850" t="s">
        <v>2486</v>
      </c>
      <c r="G329" s="1850" t="s">
        <v>28</v>
      </c>
      <c r="H329" s="1850" t="s">
        <v>28</v>
      </c>
      <c r="I329" s="1850" t="s">
        <v>914</v>
      </c>
    </row>
    <row customHeight="1" ht="11.25">
      <c r="A330" s="1850" t="s">
        <v>2249</v>
      </c>
      <c r="B330" s="1850" t="s">
        <v>16</v>
      </c>
      <c r="C330" s="1850" t="s">
        <v>2850</v>
      </c>
      <c r="D330" s="1850" t="s">
        <v>2851</v>
      </c>
      <c r="E330" s="1850" t="s">
        <v>2852</v>
      </c>
      <c r="F330" s="1850" t="s">
        <v>2356</v>
      </c>
      <c r="G330" s="1850" t="s">
        <v>28</v>
      </c>
      <c r="H330" s="1850" t="s">
        <v>28</v>
      </c>
      <c r="I330" s="1850" t="s">
        <v>914</v>
      </c>
    </row>
    <row customHeight="1" ht="11.25">
      <c r="A331" s="1850" t="s">
        <v>2249</v>
      </c>
      <c r="B331" s="1850" t="s">
        <v>16</v>
      </c>
      <c r="C331" s="1850" t="s">
        <v>2498</v>
      </c>
      <c r="D331" s="1850" t="s">
        <v>2499</v>
      </c>
      <c r="E331" s="1850" t="s">
        <v>2500</v>
      </c>
      <c r="F331" s="1850" t="s">
        <v>2464</v>
      </c>
      <c r="G331" s="1850" t="s">
        <v>28</v>
      </c>
      <c r="H331" s="1850" t="s">
        <v>28</v>
      </c>
      <c r="I331" s="1850" t="s">
        <v>914</v>
      </c>
    </row>
    <row customHeight="1" ht="11.25">
      <c r="A332" s="1850" t="s">
        <v>2249</v>
      </c>
      <c r="B332" s="1850" t="s">
        <v>16</v>
      </c>
      <c r="C332" s="1850" t="s">
        <v>2504</v>
      </c>
      <c r="D332" s="1850" t="s">
        <v>2505</v>
      </c>
      <c r="E332" s="1850" t="s">
        <v>2506</v>
      </c>
      <c r="F332" s="1850" t="s">
        <v>2507</v>
      </c>
      <c r="G332" s="1850" t="s">
        <v>28</v>
      </c>
      <c r="H332" s="1850" t="s">
        <v>28</v>
      </c>
      <c r="I332" s="1850" t="s">
        <v>914</v>
      </c>
    </row>
    <row customHeight="1" ht="11.25">
      <c r="A333" s="1850" t="s">
        <v>2249</v>
      </c>
      <c r="B333" s="1850" t="s">
        <v>16</v>
      </c>
      <c r="C333" s="1850" t="s">
        <v>2853</v>
      </c>
      <c r="D333" s="1850" t="s">
        <v>2854</v>
      </c>
      <c r="E333" s="1850" t="s">
        <v>2855</v>
      </c>
      <c r="F333" s="1850" t="s">
        <v>2507</v>
      </c>
      <c r="G333" s="1850" t="s">
        <v>28</v>
      </c>
      <c r="H333" s="1850" t="s">
        <v>28</v>
      </c>
      <c r="I333" s="1850" t="s">
        <v>914</v>
      </c>
    </row>
    <row customHeight="1" ht="11.25">
      <c r="A334" s="1850" t="s">
        <v>2249</v>
      </c>
      <c r="B334" s="1850" t="s">
        <v>16</v>
      </c>
      <c r="C334" s="1850" t="s">
        <v>2512</v>
      </c>
      <c r="D334" s="1850" t="s">
        <v>2513</v>
      </c>
      <c r="E334" s="1850" t="s">
        <v>2514</v>
      </c>
      <c r="F334" s="1850" t="s">
        <v>2515</v>
      </c>
      <c r="G334" s="1850" t="s">
        <v>2516</v>
      </c>
      <c r="H334" s="1850" t="s">
        <v>28</v>
      </c>
      <c r="I334" s="1850" t="s">
        <v>914</v>
      </c>
    </row>
    <row customHeight="1" ht="11.25">
      <c r="A335" s="1850" t="s">
        <v>2249</v>
      </c>
      <c r="B335" s="1850" t="s">
        <v>16</v>
      </c>
      <c r="C335" s="1850" t="s">
        <v>2520</v>
      </c>
      <c r="D335" s="1850" t="s">
        <v>2521</v>
      </c>
      <c r="E335" s="1850" t="s">
        <v>2273</v>
      </c>
      <c r="F335" s="1850" t="s">
        <v>2343</v>
      </c>
      <c r="G335" s="1850" t="s">
        <v>28</v>
      </c>
      <c r="H335" s="1850" t="s">
        <v>28</v>
      </c>
      <c r="I335" s="1850" t="s">
        <v>914</v>
      </c>
    </row>
    <row customHeight="1" ht="11.25">
      <c r="A336" s="1850" t="s">
        <v>2249</v>
      </c>
      <c r="B336" s="1850" t="s">
        <v>16</v>
      </c>
      <c r="C336" s="1850" t="s">
        <v>2525</v>
      </c>
      <c r="D336" s="1850" t="s">
        <v>2526</v>
      </c>
      <c r="E336" s="1850" t="s">
        <v>2527</v>
      </c>
      <c r="F336" s="1850" t="s">
        <v>2448</v>
      </c>
      <c r="G336" s="1850" t="s">
        <v>28</v>
      </c>
      <c r="H336" s="1850" t="s">
        <v>28</v>
      </c>
      <c r="I336" s="1850" t="s">
        <v>914</v>
      </c>
    </row>
    <row customHeight="1" ht="11.25">
      <c r="A337" s="1850" t="s">
        <v>2249</v>
      </c>
      <c r="B337" s="1850" t="s">
        <v>16</v>
      </c>
      <c r="C337" s="1850" t="s">
        <v>2909</v>
      </c>
      <c r="D337" s="1850" t="s">
        <v>2910</v>
      </c>
      <c r="E337" s="1850" t="s">
        <v>2911</v>
      </c>
      <c r="F337" s="1850" t="s">
        <v>2912</v>
      </c>
      <c r="G337" s="1850" t="s">
        <v>28</v>
      </c>
      <c r="H337" s="1850" t="s">
        <v>28</v>
      </c>
      <c r="I337" s="1850" t="s">
        <v>914</v>
      </c>
    </row>
    <row customHeight="1" ht="11.25">
      <c r="A338" s="1850" t="s">
        <v>2249</v>
      </c>
      <c r="B338" s="1850" t="s">
        <v>16</v>
      </c>
      <c r="C338" s="1850" t="s">
        <v>2913</v>
      </c>
      <c r="D338" s="1850" t="s">
        <v>2914</v>
      </c>
      <c r="E338" s="1850" t="s">
        <v>2915</v>
      </c>
      <c r="F338" s="1850" t="s">
        <v>2287</v>
      </c>
      <c r="G338" s="1850" t="s">
        <v>28</v>
      </c>
      <c r="H338" s="1850" t="s">
        <v>28</v>
      </c>
      <c r="I338" s="1850" t="s">
        <v>914</v>
      </c>
    </row>
    <row customHeight="1" ht="11.25">
      <c r="A339" s="1850" t="s">
        <v>2249</v>
      </c>
      <c r="B339" s="1850" t="s">
        <v>16</v>
      </c>
      <c r="C339" s="1850" t="s">
        <v>2533</v>
      </c>
      <c r="D339" s="1850" t="s">
        <v>2534</v>
      </c>
      <c r="E339" s="1850" t="s">
        <v>2535</v>
      </c>
      <c r="F339" s="1850" t="s">
        <v>2536</v>
      </c>
      <c r="G339" s="1850" t="s">
        <v>28</v>
      </c>
      <c r="H339" s="1850" t="s">
        <v>28</v>
      </c>
      <c r="I339" s="1850" t="s">
        <v>914</v>
      </c>
    </row>
    <row customHeight="1" ht="11.25">
      <c r="A340" s="1850" t="s">
        <v>2249</v>
      </c>
      <c r="B340" s="1850" t="s">
        <v>16</v>
      </c>
      <c r="C340" s="1850" t="s">
        <v>2537</v>
      </c>
      <c r="D340" s="1850" t="s">
        <v>2538</v>
      </c>
      <c r="E340" s="1850" t="s">
        <v>2278</v>
      </c>
      <c r="F340" s="1850" t="s">
        <v>2315</v>
      </c>
      <c r="G340" s="1850" t="s">
        <v>28</v>
      </c>
      <c r="H340" s="1850" t="s">
        <v>28</v>
      </c>
      <c r="I340" s="1850" t="s">
        <v>914</v>
      </c>
    </row>
    <row customHeight="1" ht="11.25">
      <c r="A341" s="1850" t="s">
        <v>2249</v>
      </c>
      <c r="B341" s="1850" t="s">
        <v>16</v>
      </c>
      <c r="C341" s="1850" t="s">
        <v>2916</v>
      </c>
      <c r="D341" s="1850" t="s">
        <v>2917</v>
      </c>
      <c r="E341" s="1850" t="s">
        <v>2918</v>
      </c>
      <c r="F341" s="1850" t="s">
        <v>55</v>
      </c>
      <c r="G341" s="1850" t="s">
        <v>28</v>
      </c>
      <c r="H341" s="1850" t="s">
        <v>28</v>
      </c>
      <c r="I341" s="1850" t="s">
        <v>1622</v>
      </c>
    </row>
    <row customHeight="1" ht="11.25">
      <c r="A342" s="1850" t="s">
        <v>2249</v>
      </c>
      <c r="B342" s="1850" t="s">
        <v>16</v>
      </c>
      <c r="C342" s="1850" t="s">
        <v>2919</v>
      </c>
      <c r="D342" s="1850" t="s">
        <v>2920</v>
      </c>
      <c r="E342" s="1850" t="s">
        <v>2921</v>
      </c>
      <c r="F342" s="1850" t="s">
        <v>583</v>
      </c>
      <c r="G342" s="1850" t="s">
        <v>28</v>
      </c>
      <c r="H342" s="1850" t="s">
        <v>28</v>
      </c>
      <c r="I342" s="1850" t="s">
        <v>1622</v>
      </c>
    </row>
    <row customHeight="1" ht="11.25">
      <c r="A343" s="1850" t="s">
        <v>2249</v>
      </c>
      <c r="B343" s="1850" t="s">
        <v>16</v>
      </c>
      <c r="C343" s="1850" t="s">
        <v>2922</v>
      </c>
      <c r="D343" s="1850" t="s">
        <v>2923</v>
      </c>
      <c r="E343" s="1850" t="s">
        <v>2924</v>
      </c>
      <c r="F343" s="1850" t="s">
        <v>583</v>
      </c>
      <c r="G343" s="1850" t="s">
        <v>28</v>
      </c>
      <c r="H343" s="1850" t="s">
        <v>28</v>
      </c>
      <c r="I343" s="1850" t="s">
        <v>1622</v>
      </c>
    </row>
    <row customHeight="1" ht="11.25">
      <c r="A344" s="1850" t="s">
        <v>2249</v>
      </c>
      <c r="B344" s="1850" t="s">
        <v>16</v>
      </c>
      <c r="C344" s="1850" t="s">
        <v>28</v>
      </c>
      <c r="D344" s="1850" t="s">
        <v>2317</v>
      </c>
      <c r="E344" s="1850" t="s">
        <v>2318</v>
      </c>
      <c r="F344" s="1850" t="s">
        <v>55</v>
      </c>
      <c r="G344" s="1850" t="s">
        <v>28</v>
      </c>
      <c r="H344" s="1850" t="s">
        <v>28</v>
      </c>
      <c r="I344" s="1850" t="s">
        <v>1622</v>
      </c>
    </row>
    <row customHeight="1" ht="11.25">
      <c r="A345" s="1850" t="s">
        <v>2249</v>
      </c>
      <c r="B345" s="1850" t="s">
        <v>16</v>
      </c>
      <c r="C345" s="1850" t="s">
        <v>2714</v>
      </c>
      <c r="D345" s="1850" t="s">
        <v>2715</v>
      </c>
      <c r="E345" s="1850" t="s">
        <v>2716</v>
      </c>
      <c r="F345" s="1850" t="s">
        <v>2511</v>
      </c>
      <c r="G345" s="1850" t="s">
        <v>2717</v>
      </c>
      <c r="H345" s="1850" t="s">
        <v>28</v>
      </c>
      <c r="I345" s="1850" t="s">
        <v>1622</v>
      </c>
    </row>
    <row customHeight="1" ht="11.25">
      <c r="A346" s="1850" t="s">
        <v>2249</v>
      </c>
      <c r="B346" s="1850" t="s">
        <v>16</v>
      </c>
      <c r="C346" s="1850" t="s">
        <v>2925</v>
      </c>
      <c r="D346" s="1850" t="s">
        <v>2926</v>
      </c>
      <c r="E346" s="1850" t="s">
        <v>2927</v>
      </c>
      <c r="F346" s="1850" t="s">
        <v>2377</v>
      </c>
      <c r="G346" s="1850" t="s">
        <v>28</v>
      </c>
      <c r="H346" s="1850" t="s">
        <v>2928</v>
      </c>
      <c r="I346" s="1850" t="s">
        <v>1622</v>
      </c>
    </row>
    <row customHeight="1" ht="11.25">
      <c r="A347" s="1850" t="s">
        <v>2249</v>
      </c>
      <c r="B347" s="1850" t="s">
        <v>16</v>
      </c>
      <c r="C347" s="1850" t="s">
        <v>2929</v>
      </c>
      <c r="D347" s="1850" t="s">
        <v>2930</v>
      </c>
      <c r="E347" s="1850" t="s">
        <v>2931</v>
      </c>
      <c r="F347" s="1850" t="s">
        <v>2373</v>
      </c>
      <c r="G347" s="1850" t="s">
        <v>28</v>
      </c>
      <c r="H347" s="1850" t="s">
        <v>28</v>
      </c>
      <c r="I347" s="1850" t="s">
        <v>1622</v>
      </c>
    </row>
    <row customHeight="1" ht="11.25">
      <c r="A348" s="1850" t="s">
        <v>2249</v>
      </c>
      <c r="B348" s="1850" t="s">
        <v>16</v>
      </c>
      <c r="C348" s="1850" t="s">
        <v>2932</v>
      </c>
      <c r="D348" s="1850" t="s">
        <v>2933</v>
      </c>
      <c r="E348" s="1850" t="s">
        <v>2934</v>
      </c>
      <c r="F348" s="1850" t="s">
        <v>2361</v>
      </c>
      <c r="G348" s="1850" t="s">
        <v>28</v>
      </c>
      <c r="H348" s="1850" t="s">
        <v>28</v>
      </c>
      <c r="I348" s="1850" t="s">
        <v>1622</v>
      </c>
    </row>
    <row customHeight="1" ht="11.25">
      <c r="A349" s="1850" t="s">
        <v>2249</v>
      </c>
      <c r="B349" s="1850" t="s">
        <v>16</v>
      </c>
      <c r="C349" s="1850" t="s">
        <v>2799</v>
      </c>
      <c r="D349" s="1850" t="s">
        <v>2800</v>
      </c>
      <c r="E349" s="1850" t="s">
        <v>2801</v>
      </c>
      <c r="F349" s="1850" t="s">
        <v>2336</v>
      </c>
      <c r="G349" s="1850" t="s">
        <v>28</v>
      </c>
      <c r="H349" s="1850" t="s">
        <v>28</v>
      </c>
      <c r="I349" s="1850" t="s">
        <v>1622</v>
      </c>
    </row>
    <row customHeight="1" ht="11.25">
      <c r="A350" s="1850" t="s">
        <v>2249</v>
      </c>
      <c r="B350" s="1850" t="s">
        <v>16</v>
      </c>
      <c r="C350" s="1850" t="s">
        <v>2805</v>
      </c>
      <c r="D350" s="1850" t="s">
        <v>2806</v>
      </c>
      <c r="E350" s="1850" t="s">
        <v>2807</v>
      </c>
      <c r="F350" s="1850" t="s">
        <v>2426</v>
      </c>
      <c r="G350" s="1850" t="s">
        <v>28</v>
      </c>
      <c r="H350" s="1850" t="s">
        <v>28</v>
      </c>
      <c r="I350" s="1850" t="s">
        <v>1622</v>
      </c>
    </row>
    <row customHeight="1" ht="11.25">
      <c r="A351" s="1850" t="s">
        <v>2249</v>
      </c>
      <c r="B351" s="1850" t="s">
        <v>16</v>
      </c>
      <c r="C351" s="1850" t="s">
        <v>2819</v>
      </c>
      <c r="D351" s="1850" t="s">
        <v>2820</v>
      </c>
      <c r="E351" s="1850" t="s">
        <v>2821</v>
      </c>
      <c r="F351" s="1850" t="s">
        <v>2464</v>
      </c>
      <c r="G351" s="1850" t="s">
        <v>28</v>
      </c>
      <c r="H351" s="1850" t="s">
        <v>28</v>
      </c>
      <c r="I351" s="1850" t="s">
        <v>1622</v>
      </c>
    </row>
    <row customHeight="1" ht="11.25">
      <c r="A352" s="1850" t="s">
        <v>2249</v>
      </c>
      <c r="B352" s="1850" t="s">
        <v>16</v>
      </c>
      <c r="C352" s="1850" t="s">
        <v>2935</v>
      </c>
      <c r="D352" s="1850" t="s">
        <v>2936</v>
      </c>
      <c r="E352" s="1850" t="s">
        <v>2937</v>
      </c>
      <c r="F352" s="1850" t="s">
        <v>55</v>
      </c>
      <c r="G352" s="1850" t="s">
        <v>28</v>
      </c>
      <c r="H352" s="1850" t="s">
        <v>28</v>
      </c>
      <c r="I352" s="1850" t="s">
        <v>1622</v>
      </c>
    </row>
    <row customHeight="1" ht="11.25">
      <c r="A353" s="1850" t="s">
        <v>2249</v>
      </c>
      <c r="B353" s="1850" t="s">
        <v>16</v>
      </c>
      <c r="C353" s="1850" t="s">
        <v>2938</v>
      </c>
      <c r="D353" s="1850" t="s">
        <v>2939</v>
      </c>
      <c r="E353" s="1850" t="s">
        <v>2940</v>
      </c>
      <c r="F353" s="1850" t="s">
        <v>2662</v>
      </c>
      <c r="G353" s="1850" t="s">
        <v>2941</v>
      </c>
      <c r="H353" s="1850" t="s">
        <v>28</v>
      </c>
      <c r="I353" s="1850" t="s">
        <v>1622</v>
      </c>
    </row>
    <row customHeight="1" ht="11.25">
      <c r="A354" s="1850" t="s">
        <v>2249</v>
      </c>
      <c r="B354" s="1850" t="s">
        <v>16</v>
      </c>
      <c r="C354" s="1850" t="s">
        <v>2942</v>
      </c>
      <c r="D354" s="1850" t="s">
        <v>2943</v>
      </c>
      <c r="E354" s="1850" t="s">
        <v>2944</v>
      </c>
      <c r="F354" s="1850" t="s">
        <v>2825</v>
      </c>
      <c r="G354" s="1850" t="s">
        <v>28</v>
      </c>
      <c r="H354" s="1850" t="s">
        <v>2945</v>
      </c>
      <c r="I354" s="1850" t="s">
        <v>1622</v>
      </c>
    </row>
    <row customHeight="1" ht="11.25">
      <c r="A355" s="1850" t="s">
        <v>2249</v>
      </c>
      <c r="B355" s="1850" t="s">
        <v>16</v>
      </c>
      <c r="C355" s="1850" t="s">
        <v>2470</v>
      </c>
      <c r="D355" s="1850" t="s">
        <v>2471</v>
      </c>
      <c r="E355" s="1850" t="s">
        <v>2472</v>
      </c>
      <c r="F355" s="1850" t="s">
        <v>2322</v>
      </c>
      <c r="G355" s="1850" t="s">
        <v>28</v>
      </c>
      <c r="H355" s="1850" t="s">
        <v>28</v>
      </c>
      <c r="I355" s="1850" t="s">
        <v>1622</v>
      </c>
    </row>
    <row customHeight="1" ht="11.25">
      <c r="A356" s="1850" t="s">
        <v>2249</v>
      </c>
      <c r="B356" s="1850" t="s">
        <v>16</v>
      </c>
      <c r="C356" s="1850" t="s">
        <v>2946</v>
      </c>
      <c r="D356" s="1850" t="s">
        <v>2947</v>
      </c>
      <c r="E356" s="1850" t="s">
        <v>2948</v>
      </c>
      <c r="F356" s="1850" t="s">
        <v>2343</v>
      </c>
      <c r="G356" s="1850" t="s">
        <v>28</v>
      </c>
      <c r="H356" s="1850" t="s">
        <v>28</v>
      </c>
      <c r="I356" s="1850" t="s">
        <v>1622</v>
      </c>
    </row>
    <row customHeight="1" ht="11.25">
      <c r="A357" s="1850" t="s">
        <v>2249</v>
      </c>
      <c r="B357" s="1850" t="s">
        <v>16</v>
      </c>
      <c r="C357" s="1850" t="s">
        <v>2949</v>
      </c>
      <c r="D357" s="1850" t="s">
        <v>2950</v>
      </c>
      <c r="E357" s="1850" t="s">
        <v>2951</v>
      </c>
      <c r="F357" s="1850" t="s">
        <v>2444</v>
      </c>
      <c r="G357" s="1850" t="s">
        <v>28</v>
      </c>
      <c r="H357" s="1850" t="s">
        <v>28</v>
      </c>
      <c r="I357" s="1850" t="s">
        <v>1622</v>
      </c>
    </row>
    <row customHeight="1" ht="11.25">
      <c r="A358" s="1850" t="s">
        <v>2249</v>
      </c>
      <c r="B358" s="1850" t="s">
        <v>16</v>
      </c>
      <c r="C358" s="1850" t="s">
        <v>2952</v>
      </c>
      <c r="D358" s="1850" t="s">
        <v>2953</v>
      </c>
      <c r="E358" s="1850" t="s">
        <v>2954</v>
      </c>
      <c r="F358" s="1850" t="s">
        <v>2336</v>
      </c>
      <c r="G358" s="1850" t="s">
        <v>28</v>
      </c>
      <c r="H358" s="1850" t="s">
        <v>28</v>
      </c>
      <c r="I358" s="1850" t="s">
        <v>1622</v>
      </c>
    </row>
    <row customHeight="1" ht="11.25">
      <c r="A359" s="1850" t="s">
        <v>2249</v>
      </c>
      <c r="B359" s="1850" t="s">
        <v>16</v>
      </c>
      <c r="C359" s="1850" t="s">
        <v>2476</v>
      </c>
      <c r="D359" s="1850" t="s">
        <v>2477</v>
      </c>
      <c r="E359" s="1850" t="s">
        <v>2478</v>
      </c>
      <c r="F359" s="1850" t="s">
        <v>2253</v>
      </c>
      <c r="G359" s="1850" t="s">
        <v>28</v>
      </c>
      <c r="H359" s="1850" t="s">
        <v>28</v>
      </c>
      <c r="I359" s="1850" t="s">
        <v>1622</v>
      </c>
    </row>
    <row customHeight="1" ht="11.25">
      <c r="A360" s="1850" t="s">
        <v>2249</v>
      </c>
      <c r="B360" s="1850" t="s">
        <v>16</v>
      </c>
      <c r="C360" s="1850" t="s">
        <v>2842</v>
      </c>
      <c r="D360" s="1850" t="s">
        <v>2843</v>
      </c>
      <c r="E360" s="1850" t="s">
        <v>2844</v>
      </c>
      <c r="F360" s="1850" t="s">
        <v>2845</v>
      </c>
      <c r="G360" s="1850" t="s">
        <v>28</v>
      </c>
      <c r="H360" s="1850" t="s">
        <v>2846</v>
      </c>
      <c r="I360" s="1850" t="s">
        <v>1622</v>
      </c>
    </row>
    <row customHeight="1" ht="11.25">
      <c r="A361" s="1850" t="s">
        <v>2249</v>
      </c>
      <c r="B361" s="1850" t="s">
        <v>16</v>
      </c>
      <c r="C361" s="1850" t="s">
        <v>2955</v>
      </c>
      <c r="D361" s="1850" t="s">
        <v>2956</v>
      </c>
      <c r="E361" s="1850" t="s">
        <v>2957</v>
      </c>
      <c r="F361" s="1850" t="s">
        <v>55</v>
      </c>
      <c r="G361" s="1850" t="s">
        <v>2958</v>
      </c>
      <c r="H361" s="1850" t="s">
        <v>28</v>
      </c>
      <c r="I361" s="1850" t="s">
        <v>1622</v>
      </c>
    </row>
    <row customHeight="1" ht="11.25">
      <c r="A362" s="1850" t="s">
        <v>2249</v>
      </c>
      <c r="B362" s="1850" t="s">
        <v>16</v>
      </c>
      <c r="C362" s="1850" t="s">
        <v>2850</v>
      </c>
      <c r="D362" s="1850" t="s">
        <v>2851</v>
      </c>
      <c r="E362" s="1850" t="s">
        <v>2852</v>
      </c>
      <c r="F362" s="1850" t="s">
        <v>2356</v>
      </c>
      <c r="G362" s="1850" t="s">
        <v>28</v>
      </c>
      <c r="H362" s="1850" t="s">
        <v>28</v>
      </c>
      <c r="I362" s="1850" t="s">
        <v>1622</v>
      </c>
    </row>
    <row customHeight="1" ht="11.25">
      <c r="A363" s="1850" t="s">
        <v>2249</v>
      </c>
      <c r="B363" s="1850" t="s">
        <v>16</v>
      </c>
      <c r="C363" s="1850" t="s">
        <v>2959</v>
      </c>
      <c r="D363" s="1850" t="s">
        <v>2960</v>
      </c>
      <c r="E363" s="1850" t="s">
        <v>2961</v>
      </c>
      <c r="F363" s="1850" t="s">
        <v>2377</v>
      </c>
      <c r="G363" s="1850" t="s">
        <v>28</v>
      </c>
      <c r="H363" s="1850" t="s">
        <v>28</v>
      </c>
      <c r="I363" s="1850" t="s">
        <v>1622</v>
      </c>
    </row>
    <row customHeight="1" ht="11.25">
      <c r="A364" s="1850" t="s">
        <v>2249</v>
      </c>
      <c r="B364" s="1850" t="s">
        <v>16</v>
      </c>
      <c r="C364" s="1850" t="s">
        <v>2962</v>
      </c>
      <c r="D364" s="1850" t="s">
        <v>2963</v>
      </c>
      <c r="E364" s="1850" t="s">
        <v>2964</v>
      </c>
      <c r="F364" s="1850" t="s">
        <v>2965</v>
      </c>
      <c r="G364" s="1850" t="s">
        <v>28</v>
      </c>
      <c r="H364" s="1850" t="s">
        <v>28</v>
      </c>
      <c r="I364" s="1850" t="s">
        <v>1622</v>
      </c>
    </row>
    <row customHeight="1" ht="11.25">
      <c r="A365" s="1850" t="s">
        <v>2249</v>
      </c>
      <c r="B365" s="1850" t="s">
        <v>16</v>
      </c>
      <c r="C365" s="1850" t="s">
        <v>2966</v>
      </c>
      <c r="D365" s="1850" t="s">
        <v>2967</v>
      </c>
      <c r="E365" s="1850" t="s">
        <v>2968</v>
      </c>
      <c r="F365" s="1850" t="s">
        <v>2336</v>
      </c>
      <c r="G365" s="1850" t="s">
        <v>28</v>
      </c>
      <c r="H365" s="1850" t="s">
        <v>28</v>
      </c>
      <c r="I365" s="1850" t="s">
        <v>1622</v>
      </c>
    </row>
    <row customHeight="1" ht="11.25">
      <c r="A366" s="1850" t="s">
        <v>2249</v>
      </c>
      <c r="B366" s="1850" t="s">
        <v>16</v>
      </c>
      <c r="C366" s="1850" t="s">
        <v>2969</v>
      </c>
      <c r="D366" s="1850" t="s">
        <v>2970</v>
      </c>
      <c r="E366" s="1850" t="s">
        <v>2971</v>
      </c>
      <c r="F366" s="1850" t="s">
        <v>2336</v>
      </c>
      <c r="G366" s="1850" t="s">
        <v>28</v>
      </c>
      <c r="H366" s="1850" t="s">
        <v>28</v>
      </c>
      <c r="I366" s="1850" t="s">
        <v>1622</v>
      </c>
    </row>
    <row customHeight="1" ht="11.25">
      <c r="A367" s="1850" t="s">
        <v>2249</v>
      </c>
      <c r="B367" s="1850" t="s">
        <v>16</v>
      </c>
      <c r="C367" s="1850" t="s">
        <v>2972</v>
      </c>
      <c r="D367" s="1850" t="s">
        <v>2973</v>
      </c>
      <c r="E367" s="1850" t="s">
        <v>2974</v>
      </c>
      <c r="F367" s="1850" t="s">
        <v>55</v>
      </c>
      <c r="G367" s="1850" t="s">
        <v>28</v>
      </c>
      <c r="H367" s="1850" t="s">
        <v>28</v>
      </c>
      <c r="I367" s="1850" t="s">
        <v>1622</v>
      </c>
    </row>
    <row customHeight="1" ht="11.25">
      <c r="A368" s="1850" t="s">
        <v>2249</v>
      </c>
      <c r="B368" s="1850" t="s">
        <v>16</v>
      </c>
      <c r="C368" s="1850" t="s">
        <v>2975</v>
      </c>
      <c r="D368" s="1850" t="s">
        <v>2976</v>
      </c>
      <c r="E368" s="1850" t="s">
        <v>2977</v>
      </c>
      <c r="F368" s="1850" t="s">
        <v>2448</v>
      </c>
      <c r="G368" s="1850" t="s">
        <v>28</v>
      </c>
      <c r="H368" s="1850" t="s">
        <v>2941</v>
      </c>
      <c r="I368" s="1850" t="s">
        <v>1622</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0D381A-0232-7B48-C188-008292C0C638}" mc:Ignorable="x14ac xr xr2 xr3">
  <sheetPr>
    <tabColor rgb="FFFFCC99"/>
  </sheetPr>
  <dimension ref="A1:G348"/>
  <sheetViews>
    <sheetView topLeftCell="A1" showGridLines="0" workbookViewId="0">
      <selection activeCell="A1" sqref="A1"/>
    </sheetView>
  </sheetViews>
  <sheetFormatPr customHeight="1" defaultRowHeight="11.25"/>
  <cols>
    <col min="1" max="1" style="1850" width="9.140625"/>
  </cols>
  <sheetData>
    <row customHeight="1" ht="11.25">
      <c r="A1" s="373" t="s">
        <v>2978</v>
      </c>
      <c r="B1" s="64" t="s">
        <v>2979</v>
      </c>
      <c r="C1" s="64" t="s">
        <v>2980</v>
      </c>
      <c r="D1" s="64" t="s">
        <v>2981</v>
      </c>
      <c r="E1" s="0" t="s">
        <v>2982</v>
      </c>
      <c r="F1" s="0" t="s">
        <v>2983</v>
      </c>
      <c r="G1" s="0" t="s">
        <v>2984</v>
      </c>
    </row>
    <row customHeight="1" ht="11.25">
      <c r="A2" s="373" t="s">
        <v>16</v>
      </c>
      <c r="B2" s="0" t="s">
        <v>2985</v>
      </c>
      <c r="C2" s="0" t="s">
        <v>2986</v>
      </c>
      <c r="D2" s="0" t="s">
        <v>2987</v>
      </c>
      <c r="E2" s="0" t="s">
        <v>2988</v>
      </c>
      <c r="F2" s="0" t="s">
        <v>2989</v>
      </c>
      <c r="G2" s="0" t="s">
        <v>113</v>
      </c>
    </row>
    <row customHeight="1" ht="11.25">
      <c r="A3" s="373" t="s">
        <v>16</v>
      </c>
      <c r="B3" s="0" t="s">
        <v>2985</v>
      </c>
      <c r="C3" s="0" t="s">
        <v>2986</v>
      </c>
      <c r="D3" s="0" t="s">
        <v>2985</v>
      </c>
      <c r="E3" s="0" t="s">
        <v>2986</v>
      </c>
      <c r="F3" s="0" t="s">
        <v>2990</v>
      </c>
      <c r="G3" s="0" t="s">
        <v>114</v>
      </c>
    </row>
    <row customHeight="1" ht="11.25">
      <c r="A4" s="373" t="s">
        <v>16</v>
      </c>
      <c r="B4" s="0" t="s">
        <v>2985</v>
      </c>
      <c r="C4" s="0" t="s">
        <v>2986</v>
      </c>
      <c r="D4" s="0" t="s">
        <v>2991</v>
      </c>
      <c r="E4" s="0" t="s">
        <v>2992</v>
      </c>
      <c r="F4" s="0" t="s">
        <v>2989</v>
      </c>
      <c r="G4" s="0" t="s">
        <v>94</v>
      </c>
    </row>
    <row customHeight="1" ht="11.25">
      <c r="A5" s="373" t="s">
        <v>16</v>
      </c>
      <c r="B5" s="0" t="s">
        <v>2985</v>
      </c>
      <c r="C5" s="0" t="s">
        <v>2986</v>
      </c>
      <c r="D5" s="0" t="s">
        <v>2993</v>
      </c>
      <c r="E5" s="0" t="s">
        <v>2994</v>
      </c>
      <c r="F5" s="0" t="s">
        <v>2989</v>
      </c>
      <c r="G5" s="0" t="s">
        <v>95</v>
      </c>
    </row>
    <row customHeight="1" ht="11.25">
      <c r="A6" s="373" t="s">
        <v>16</v>
      </c>
      <c r="B6" s="0" t="s">
        <v>2985</v>
      </c>
      <c r="C6" s="0" t="s">
        <v>2986</v>
      </c>
      <c r="D6" s="0" t="s">
        <v>2995</v>
      </c>
      <c r="E6" s="0" t="s">
        <v>2996</v>
      </c>
      <c r="F6" s="0" t="s">
        <v>2989</v>
      </c>
      <c r="G6" s="0" t="s">
        <v>115</v>
      </c>
    </row>
    <row customHeight="1" ht="11.25">
      <c r="A7" s="373" t="s">
        <v>16</v>
      </c>
      <c r="B7" s="0" t="s">
        <v>2985</v>
      </c>
      <c r="C7" s="0" t="s">
        <v>2986</v>
      </c>
      <c r="D7" s="0" t="s">
        <v>2997</v>
      </c>
      <c r="E7" s="0" t="s">
        <v>2998</v>
      </c>
      <c r="F7" s="0" t="s">
        <v>2989</v>
      </c>
      <c r="G7" s="0" t="s">
        <v>96</v>
      </c>
    </row>
    <row customHeight="1" ht="11.25">
      <c r="A8" s="373" t="s">
        <v>16</v>
      </c>
      <c r="B8" s="0" t="s">
        <v>2985</v>
      </c>
      <c r="C8" s="0" t="s">
        <v>2986</v>
      </c>
      <c r="D8" s="0" t="s">
        <v>2999</v>
      </c>
      <c r="E8" s="0" t="s">
        <v>3000</v>
      </c>
      <c r="F8" s="0" t="s">
        <v>2989</v>
      </c>
      <c r="G8" s="0" t="s">
        <v>97</v>
      </c>
    </row>
    <row customHeight="1" ht="11.25">
      <c r="A9" s="373" t="s">
        <v>16</v>
      </c>
      <c r="B9" s="0" t="s">
        <v>2985</v>
      </c>
      <c r="C9" s="0" t="s">
        <v>2986</v>
      </c>
      <c r="D9" s="0" t="s">
        <v>3001</v>
      </c>
      <c r="E9" s="0" t="s">
        <v>3002</v>
      </c>
      <c r="F9" s="0" t="s">
        <v>2989</v>
      </c>
      <c r="G9" s="0" t="s">
        <v>116</v>
      </c>
    </row>
    <row customHeight="1" ht="11.25">
      <c r="A10" s="373" t="s">
        <v>16</v>
      </c>
      <c r="B10" s="0" t="s">
        <v>2985</v>
      </c>
      <c r="C10" s="0" t="s">
        <v>2986</v>
      </c>
      <c r="D10" s="0" t="s">
        <v>3003</v>
      </c>
      <c r="E10" s="0" t="s">
        <v>3004</v>
      </c>
      <c r="F10" s="0" t="s">
        <v>2989</v>
      </c>
      <c r="G10" s="0" t="s">
        <v>152</v>
      </c>
    </row>
    <row customHeight="1" ht="11.25">
      <c r="A11" s="373" t="s">
        <v>16</v>
      </c>
      <c r="B11" s="0" t="s">
        <v>2985</v>
      </c>
      <c r="C11" s="0" t="s">
        <v>2986</v>
      </c>
      <c r="D11" s="0" t="s">
        <v>3005</v>
      </c>
      <c r="E11" s="0" t="s">
        <v>3006</v>
      </c>
      <c r="F11" s="0" t="s">
        <v>2989</v>
      </c>
      <c r="G11" s="0" t="s">
        <v>153</v>
      </c>
    </row>
    <row customHeight="1" ht="11.25">
      <c r="A12" s="373" t="s">
        <v>16</v>
      </c>
      <c r="B12" s="0" t="s">
        <v>2985</v>
      </c>
      <c r="C12" s="0" t="s">
        <v>2986</v>
      </c>
      <c r="D12" s="0" t="s">
        <v>3007</v>
      </c>
      <c r="E12" s="0" t="s">
        <v>3008</v>
      </c>
      <c r="F12" s="0" t="s">
        <v>2989</v>
      </c>
      <c r="G12" s="0" t="s">
        <v>154</v>
      </c>
    </row>
    <row customHeight="1" ht="11.25">
      <c r="A13" s="373" t="s">
        <v>16</v>
      </c>
      <c r="B13" s="0" t="s">
        <v>2985</v>
      </c>
      <c r="C13" s="0" t="s">
        <v>2986</v>
      </c>
      <c r="D13" s="0" t="s">
        <v>3009</v>
      </c>
      <c r="E13" s="0" t="s">
        <v>3010</v>
      </c>
      <c r="F13" s="0" t="s">
        <v>2989</v>
      </c>
      <c r="G13" s="0" t="s">
        <v>155</v>
      </c>
    </row>
    <row customHeight="1" ht="11.25">
      <c r="A14" s="373" t="s">
        <v>16</v>
      </c>
      <c r="B14" s="0" t="s">
        <v>2985</v>
      </c>
      <c r="C14" s="0" t="s">
        <v>2986</v>
      </c>
      <c r="D14" s="0" t="s">
        <v>3011</v>
      </c>
      <c r="E14" s="0" t="s">
        <v>3012</v>
      </c>
      <c r="F14" s="0" t="s">
        <v>2989</v>
      </c>
      <c r="G14" s="0" t="s">
        <v>156</v>
      </c>
    </row>
    <row customHeight="1" ht="11.25">
      <c r="A15" s="373" t="s">
        <v>16</v>
      </c>
      <c r="B15" s="0" t="s">
        <v>2985</v>
      </c>
      <c r="C15" s="0" t="s">
        <v>2986</v>
      </c>
      <c r="D15" s="0" t="s">
        <v>3013</v>
      </c>
      <c r="E15" s="0" t="s">
        <v>3014</v>
      </c>
      <c r="F15" s="0" t="s">
        <v>2989</v>
      </c>
      <c r="G15" s="0" t="s">
        <v>157</v>
      </c>
    </row>
    <row customHeight="1" ht="11.25">
      <c r="A16" s="373" t="s">
        <v>16</v>
      </c>
      <c r="B16" s="0" t="s">
        <v>2985</v>
      </c>
      <c r="C16" s="0" t="s">
        <v>2986</v>
      </c>
      <c r="D16" s="0" t="s">
        <v>3015</v>
      </c>
      <c r="E16" s="0" t="s">
        <v>3016</v>
      </c>
      <c r="F16" s="0" t="s">
        <v>2989</v>
      </c>
      <c r="G16" s="0" t="s">
        <v>1466</v>
      </c>
    </row>
    <row customHeight="1" ht="11.25">
      <c r="A17" s="373" t="s">
        <v>16</v>
      </c>
      <c r="B17" s="0" t="s">
        <v>3017</v>
      </c>
      <c r="C17" s="0" t="s">
        <v>3018</v>
      </c>
      <c r="D17" s="0" t="s">
        <v>3017</v>
      </c>
      <c r="E17" s="0" t="s">
        <v>3018</v>
      </c>
      <c r="F17" s="0" t="s">
        <v>2990</v>
      </c>
      <c r="G17" s="0" t="s">
        <v>1472</v>
      </c>
    </row>
    <row customHeight="1" ht="11.25">
      <c r="A18" s="373" t="s">
        <v>16</v>
      </c>
      <c r="B18" s="0" t="s">
        <v>3017</v>
      </c>
      <c r="C18" s="0" t="s">
        <v>3018</v>
      </c>
      <c r="D18" s="0" t="s">
        <v>3019</v>
      </c>
      <c r="E18" s="0" t="s">
        <v>3020</v>
      </c>
      <c r="F18" s="0" t="s">
        <v>2989</v>
      </c>
      <c r="G18" s="0" t="s">
        <v>1484</v>
      </c>
    </row>
    <row customHeight="1" ht="11.25">
      <c r="A19" s="373" t="s">
        <v>16</v>
      </c>
      <c r="B19" s="0" t="s">
        <v>3017</v>
      </c>
      <c r="C19" s="0" t="s">
        <v>3018</v>
      </c>
      <c r="D19" s="0" t="s">
        <v>3021</v>
      </c>
      <c r="E19" s="0" t="s">
        <v>3022</v>
      </c>
      <c r="F19" s="0" t="s">
        <v>2989</v>
      </c>
      <c r="G19" s="0" t="s">
        <v>1498</v>
      </c>
    </row>
    <row customHeight="1" ht="11.25">
      <c r="A20" s="373" t="s">
        <v>16</v>
      </c>
      <c r="B20" s="0" t="s">
        <v>3017</v>
      </c>
      <c r="C20" s="0" t="s">
        <v>3018</v>
      </c>
      <c r="D20" s="0" t="s">
        <v>3023</v>
      </c>
      <c r="E20" s="0" t="s">
        <v>3024</v>
      </c>
      <c r="F20" s="0" t="s">
        <v>2989</v>
      </c>
      <c r="G20" s="0" t="s">
        <v>1510</v>
      </c>
    </row>
    <row customHeight="1" ht="11.25">
      <c r="A21" s="373" t="s">
        <v>16</v>
      </c>
      <c r="B21" s="0" t="s">
        <v>3017</v>
      </c>
      <c r="C21" s="0" t="s">
        <v>3018</v>
      </c>
      <c r="D21" s="0" t="s">
        <v>3025</v>
      </c>
      <c r="E21" s="0" t="s">
        <v>3026</v>
      </c>
      <c r="F21" s="0" t="s">
        <v>2989</v>
      </c>
      <c r="G21" s="0" t="s">
        <v>1519</v>
      </c>
    </row>
    <row customHeight="1" ht="11.25">
      <c r="A22" s="373" t="s">
        <v>16</v>
      </c>
      <c r="B22" s="0" t="s">
        <v>3017</v>
      </c>
      <c r="C22" s="0" t="s">
        <v>3018</v>
      </c>
      <c r="D22" s="0" t="s">
        <v>3027</v>
      </c>
      <c r="E22" s="0" t="s">
        <v>3028</v>
      </c>
      <c r="F22" s="0" t="s">
        <v>2989</v>
      </c>
      <c r="G22" s="0" t="s">
        <v>1535</v>
      </c>
    </row>
    <row customHeight="1" ht="11.25">
      <c r="A23" s="373" t="s">
        <v>16</v>
      </c>
      <c r="B23" s="0" t="s">
        <v>3017</v>
      </c>
      <c r="C23" s="0" t="s">
        <v>3018</v>
      </c>
      <c r="D23" s="0" t="s">
        <v>3029</v>
      </c>
      <c r="E23" s="0" t="s">
        <v>3030</v>
      </c>
      <c r="F23" s="0" t="s">
        <v>2989</v>
      </c>
      <c r="G23" s="0" t="s">
        <v>1542</v>
      </c>
    </row>
    <row customHeight="1" ht="11.25">
      <c r="A24" s="373" t="s">
        <v>16</v>
      </c>
      <c r="B24" s="0" t="s">
        <v>3017</v>
      </c>
      <c r="C24" s="0" t="s">
        <v>3018</v>
      </c>
      <c r="D24" s="0" t="s">
        <v>3031</v>
      </c>
      <c r="E24" s="0" t="s">
        <v>3032</v>
      </c>
      <c r="F24" s="0" t="s">
        <v>2989</v>
      </c>
      <c r="G24" s="0" t="s">
        <v>1550</v>
      </c>
    </row>
    <row customHeight="1" ht="11.25">
      <c r="A25" s="373" t="s">
        <v>16</v>
      </c>
      <c r="B25" s="0" t="s">
        <v>3033</v>
      </c>
      <c r="C25" s="0" t="s">
        <v>3034</v>
      </c>
      <c r="D25" s="0" t="s">
        <v>3035</v>
      </c>
      <c r="E25" s="0" t="s">
        <v>3036</v>
      </c>
      <c r="F25" s="0" t="s">
        <v>2989</v>
      </c>
      <c r="G25" s="0" t="s">
        <v>1557</v>
      </c>
    </row>
    <row customHeight="1" ht="11.25">
      <c r="A26" s="373" t="s">
        <v>16</v>
      </c>
      <c r="B26" s="0" t="s">
        <v>3033</v>
      </c>
      <c r="C26" s="0" t="s">
        <v>3034</v>
      </c>
      <c r="D26" s="0" t="s">
        <v>3037</v>
      </c>
      <c r="E26" s="0" t="s">
        <v>3038</v>
      </c>
      <c r="F26" s="0" t="s">
        <v>2989</v>
      </c>
      <c r="G26" s="0" t="s">
        <v>1561</v>
      </c>
    </row>
    <row customHeight="1" ht="11.25">
      <c r="A27" s="373" t="s">
        <v>16</v>
      </c>
      <c r="B27" s="0" t="s">
        <v>3033</v>
      </c>
      <c r="C27" s="0" t="s">
        <v>3034</v>
      </c>
      <c r="D27" s="0" t="s">
        <v>3033</v>
      </c>
      <c r="E27" s="0" t="s">
        <v>3034</v>
      </c>
      <c r="F27" s="0" t="s">
        <v>2990</v>
      </c>
      <c r="G27" s="0" t="s">
        <v>1566</v>
      </c>
    </row>
    <row customHeight="1" ht="11.25">
      <c r="A28" s="373" t="s">
        <v>16</v>
      </c>
      <c r="B28" s="0" t="s">
        <v>3033</v>
      </c>
      <c r="C28" s="0" t="s">
        <v>3034</v>
      </c>
      <c r="D28" s="0" t="s">
        <v>3039</v>
      </c>
      <c r="E28" s="0" t="s">
        <v>3040</v>
      </c>
      <c r="F28" s="0" t="s">
        <v>2989</v>
      </c>
      <c r="G28" s="0" t="s">
        <v>1574</v>
      </c>
    </row>
    <row customHeight="1" ht="11.25">
      <c r="A29" s="373" t="s">
        <v>16</v>
      </c>
      <c r="B29" s="0" t="s">
        <v>3033</v>
      </c>
      <c r="C29" s="0" t="s">
        <v>3034</v>
      </c>
      <c r="D29" s="0" t="s">
        <v>3041</v>
      </c>
      <c r="E29" s="0" t="s">
        <v>3042</v>
      </c>
      <c r="F29" s="0" t="s">
        <v>2989</v>
      </c>
      <c r="G29" s="0" t="s">
        <v>1576</v>
      </c>
    </row>
    <row customHeight="1" ht="11.25">
      <c r="A30" s="373" t="s">
        <v>16</v>
      </c>
      <c r="B30" s="0" t="s">
        <v>3033</v>
      </c>
      <c r="C30" s="0" t="s">
        <v>3034</v>
      </c>
      <c r="D30" s="0" t="s">
        <v>3043</v>
      </c>
      <c r="E30" s="0" t="s">
        <v>3044</v>
      </c>
      <c r="F30" s="0" t="s">
        <v>2989</v>
      </c>
      <c r="G30" s="0" t="s">
        <v>1579</v>
      </c>
    </row>
    <row customHeight="1" ht="11.25">
      <c r="A31" s="373" t="s">
        <v>16</v>
      </c>
      <c r="B31" s="0" t="s">
        <v>3033</v>
      </c>
      <c r="C31" s="0" t="s">
        <v>3034</v>
      </c>
      <c r="D31" s="0" t="s">
        <v>3045</v>
      </c>
      <c r="E31" s="0" t="s">
        <v>3046</v>
      </c>
      <c r="F31" s="0" t="s">
        <v>2989</v>
      </c>
      <c r="G31" s="0" t="s">
        <v>1585</v>
      </c>
    </row>
    <row customHeight="1" ht="11.25">
      <c r="A32" s="373" t="s">
        <v>16</v>
      </c>
      <c r="B32" s="0" t="s">
        <v>3033</v>
      </c>
      <c r="C32" s="0" t="s">
        <v>3034</v>
      </c>
      <c r="D32" s="0" t="s">
        <v>3047</v>
      </c>
      <c r="E32" s="0" t="s">
        <v>3048</v>
      </c>
      <c r="F32" s="0" t="s">
        <v>2989</v>
      </c>
      <c r="G32" s="0" t="s">
        <v>1586</v>
      </c>
    </row>
    <row customHeight="1" ht="11.25">
      <c r="A33" s="373" t="s">
        <v>16</v>
      </c>
      <c r="B33" s="0" t="s">
        <v>3033</v>
      </c>
      <c r="C33" s="0" t="s">
        <v>3034</v>
      </c>
      <c r="D33" s="0" t="s">
        <v>3049</v>
      </c>
      <c r="E33" s="0" t="s">
        <v>3050</v>
      </c>
      <c r="F33" s="0" t="s">
        <v>2989</v>
      </c>
      <c r="G33" s="0" t="s">
        <v>1588</v>
      </c>
    </row>
    <row customHeight="1" ht="11.25">
      <c r="A34" s="373" t="s">
        <v>16</v>
      </c>
      <c r="B34" s="0" t="s">
        <v>3033</v>
      </c>
      <c r="C34" s="0" t="s">
        <v>3034</v>
      </c>
      <c r="D34" s="0" t="s">
        <v>3051</v>
      </c>
      <c r="E34" s="0" t="s">
        <v>3052</v>
      </c>
      <c r="F34" s="0" t="s">
        <v>2989</v>
      </c>
      <c r="G34" s="0" t="s">
        <v>1590</v>
      </c>
    </row>
    <row customHeight="1" ht="11.25">
      <c r="A35" s="373" t="s">
        <v>16</v>
      </c>
      <c r="B35" s="0" t="s">
        <v>3033</v>
      </c>
      <c r="C35" s="0" t="s">
        <v>3034</v>
      </c>
      <c r="D35" s="0" t="s">
        <v>3053</v>
      </c>
      <c r="E35" s="0" t="s">
        <v>3054</v>
      </c>
      <c r="F35" s="0" t="s">
        <v>2989</v>
      </c>
      <c r="G35" s="0" t="s">
        <v>1595</v>
      </c>
    </row>
    <row customHeight="1" ht="11.25">
      <c r="A36" s="373" t="s">
        <v>16</v>
      </c>
      <c r="B36" s="0" t="s">
        <v>3033</v>
      </c>
      <c r="C36" s="0" t="s">
        <v>3034</v>
      </c>
      <c r="D36" s="0" t="s">
        <v>3055</v>
      </c>
      <c r="E36" s="0" t="s">
        <v>3056</v>
      </c>
      <c r="F36" s="0" t="s">
        <v>2989</v>
      </c>
      <c r="G36" s="0" t="s">
        <v>1600</v>
      </c>
    </row>
    <row customHeight="1" ht="11.25">
      <c r="A37" s="373" t="s">
        <v>16</v>
      </c>
      <c r="B37" s="0" t="s">
        <v>3033</v>
      </c>
      <c r="C37" s="0" t="s">
        <v>3034</v>
      </c>
      <c r="D37" s="0" t="s">
        <v>3057</v>
      </c>
      <c r="E37" s="0" t="s">
        <v>3058</v>
      </c>
      <c r="F37" s="0" t="s">
        <v>3059</v>
      </c>
      <c r="G37" s="0" t="s">
        <v>1604</v>
      </c>
    </row>
    <row customHeight="1" ht="11.25">
      <c r="A38" s="373" t="s">
        <v>16</v>
      </c>
      <c r="B38" s="0" t="s">
        <v>3033</v>
      </c>
      <c r="C38" s="0" t="s">
        <v>3034</v>
      </c>
      <c r="D38" s="0" t="s">
        <v>3060</v>
      </c>
      <c r="E38" s="0" t="s">
        <v>3061</v>
      </c>
      <c r="F38" s="0" t="s">
        <v>3059</v>
      </c>
      <c r="G38" s="0" t="s">
        <v>1612</v>
      </c>
    </row>
    <row customHeight="1" ht="11.25">
      <c r="A39" s="373" t="s">
        <v>16</v>
      </c>
      <c r="B39" s="0" t="s">
        <v>3062</v>
      </c>
      <c r="C39" s="0" t="s">
        <v>3063</v>
      </c>
      <c r="D39" s="0" t="s">
        <v>3064</v>
      </c>
      <c r="E39" s="0" t="s">
        <v>3065</v>
      </c>
      <c r="F39" s="0" t="s">
        <v>2989</v>
      </c>
      <c r="G39" s="0" t="s">
        <v>1618</v>
      </c>
    </row>
    <row customHeight="1" ht="11.25">
      <c r="A40" s="373" t="s">
        <v>16</v>
      </c>
      <c r="B40" s="0" t="s">
        <v>3062</v>
      </c>
      <c r="C40" s="0" t="s">
        <v>3063</v>
      </c>
      <c r="D40" s="0" t="s">
        <v>3066</v>
      </c>
      <c r="E40" s="0" t="s">
        <v>3067</v>
      </c>
      <c r="F40" s="0" t="s">
        <v>2989</v>
      </c>
      <c r="G40" s="0" t="s">
        <v>1623</v>
      </c>
    </row>
    <row customHeight="1" ht="11.25">
      <c r="A41" s="373" t="s">
        <v>16</v>
      </c>
      <c r="B41" s="0" t="s">
        <v>3062</v>
      </c>
      <c r="C41" s="0" t="s">
        <v>3063</v>
      </c>
      <c r="D41" s="0" t="s">
        <v>3062</v>
      </c>
      <c r="E41" s="0" t="s">
        <v>3063</v>
      </c>
      <c r="F41" s="0" t="s">
        <v>2990</v>
      </c>
      <c r="G41" s="0" t="s">
        <v>1627</v>
      </c>
    </row>
    <row customHeight="1" ht="11.25">
      <c r="A42" s="373" t="s">
        <v>16</v>
      </c>
      <c r="B42" s="0" t="s">
        <v>3062</v>
      </c>
      <c r="C42" s="0" t="s">
        <v>3063</v>
      </c>
      <c r="D42" s="0" t="s">
        <v>3068</v>
      </c>
      <c r="E42" s="0" t="s">
        <v>3069</v>
      </c>
      <c r="F42" s="0" t="s">
        <v>2989</v>
      </c>
      <c r="G42" s="0" t="s">
        <v>1630</v>
      </c>
    </row>
    <row customHeight="1" ht="11.25">
      <c r="A43" s="373" t="s">
        <v>16</v>
      </c>
      <c r="B43" s="0" t="s">
        <v>3062</v>
      </c>
      <c r="C43" s="0" t="s">
        <v>3063</v>
      </c>
      <c r="D43" s="0" t="s">
        <v>3070</v>
      </c>
      <c r="E43" s="0" t="s">
        <v>3071</v>
      </c>
      <c r="F43" s="0" t="s">
        <v>2989</v>
      </c>
      <c r="G43" s="0" t="s">
        <v>1637</v>
      </c>
    </row>
    <row customHeight="1" ht="11.25">
      <c r="A44" s="373" t="s">
        <v>16</v>
      </c>
      <c r="B44" s="0" t="s">
        <v>3062</v>
      </c>
      <c r="C44" s="0" t="s">
        <v>3063</v>
      </c>
      <c r="D44" s="0" t="s">
        <v>3072</v>
      </c>
      <c r="E44" s="0" t="s">
        <v>3073</v>
      </c>
      <c r="F44" s="0" t="s">
        <v>2989</v>
      </c>
      <c r="G44" s="0" t="s">
        <v>1646</v>
      </c>
    </row>
    <row customHeight="1" ht="11.25">
      <c r="A45" s="373" t="s">
        <v>16</v>
      </c>
      <c r="B45" s="0" t="s">
        <v>3062</v>
      </c>
      <c r="C45" s="0" t="s">
        <v>3063</v>
      </c>
      <c r="D45" s="0" t="s">
        <v>3074</v>
      </c>
      <c r="E45" s="0" t="s">
        <v>3075</v>
      </c>
      <c r="F45" s="0" t="s">
        <v>2989</v>
      </c>
      <c r="G45" s="0" t="s">
        <v>1651</v>
      </c>
    </row>
    <row customHeight="1" ht="11.25">
      <c r="A46" s="373" t="s">
        <v>16</v>
      </c>
      <c r="B46" s="0" t="s">
        <v>3062</v>
      </c>
      <c r="C46" s="0" t="s">
        <v>3063</v>
      </c>
      <c r="D46" s="0" t="s">
        <v>3076</v>
      </c>
      <c r="E46" s="0" t="s">
        <v>3077</v>
      </c>
      <c r="F46" s="0" t="s">
        <v>2989</v>
      </c>
      <c r="G46" s="0" t="s">
        <v>1655</v>
      </c>
    </row>
    <row customHeight="1" ht="11.25">
      <c r="A47" s="373" t="s">
        <v>16</v>
      </c>
      <c r="B47" s="0" t="s">
        <v>3062</v>
      </c>
      <c r="C47" s="0" t="s">
        <v>3063</v>
      </c>
      <c r="D47" s="0" t="s">
        <v>3078</v>
      </c>
      <c r="E47" s="0" t="s">
        <v>3079</v>
      </c>
      <c r="F47" s="0" t="s">
        <v>2989</v>
      </c>
      <c r="G47" s="0" t="s">
        <v>1661</v>
      </c>
    </row>
    <row customHeight="1" ht="11.25">
      <c r="A48" s="373" t="s">
        <v>16</v>
      </c>
      <c r="B48" s="0" t="s">
        <v>3062</v>
      </c>
      <c r="C48" s="0" t="s">
        <v>3063</v>
      </c>
      <c r="D48" s="0" t="s">
        <v>3080</v>
      </c>
      <c r="E48" s="0" t="s">
        <v>3081</v>
      </c>
      <c r="F48" s="0" t="s">
        <v>2989</v>
      </c>
      <c r="G48" s="0" t="s">
        <v>1666</v>
      </c>
    </row>
    <row customHeight="1" ht="11.25">
      <c r="A49" s="373" t="s">
        <v>16</v>
      </c>
      <c r="B49" s="0" t="s">
        <v>3062</v>
      </c>
      <c r="C49" s="0" t="s">
        <v>3063</v>
      </c>
      <c r="D49" s="0" t="s">
        <v>3082</v>
      </c>
      <c r="E49" s="0" t="s">
        <v>3083</v>
      </c>
      <c r="F49" s="0" t="s">
        <v>2989</v>
      </c>
      <c r="G49" s="0" t="s">
        <v>41</v>
      </c>
    </row>
    <row customHeight="1" ht="11.25">
      <c r="A50" s="373" t="s">
        <v>16</v>
      </c>
      <c r="B50" s="0" t="s">
        <v>3062</v>
      </c>
      <c r="C50" s="0" t="s">
        <v>3063</v>
      </c>
      <c r="D50" s="0" t="s">
        <v>3084</v>
      </c>
      <c r="E50" s="0" t="s">
        <v>3085</v>
      </c>
      <c r="F50" s="0" t="s">
        <v>2989</v>
      </c>
      <c r="G50" s="0" t="s">
        <v>1672</v>
      </c>
    </row>
    <row customHeight="1" ht="11.25">
      <c r="A51" s="373" t="s">
        <v>16</v>
      </c>
      <c r="B51" s="0" t="s">
        <v>3062</v>
      </c>
      <c r="C51" s="0" t="s">
        <v>3063</v>
      </c>
      <c r="D51" s="0" t="s">
        <v>3086</v>
      </c>
      <c r="E51" s="0" t="s">
        <v>3087</v>
      </c>
      <c r="F51" s="0" t="s">
        <v>2989</v>
      </c>
      <c r="G51" s="0" t="s">
        <v>1676</v>
      </c>
    </row>
    <row customHeight="1" ht="11.25">
      <c r="A52" s="373" t="s">
        <v>16</v>
      </c>
      <c r="B52" s="0" t="s">
        <v>3062</v>
      </c>
      <c r="C52" s="0" t="s">
        <v>3063</v>
      </c>
      <c r="D52" s="0" t="s">
        <v>3088</v>
      </c>
      <c r="E52" s="0" t="s">
        <v>3089</v>
      </c>
      <c r="F52" s="0" t="s">
        <v>2989</v>
      </c>
      <c r="G52" s="0" t="s">
        <v>1680</v>
      </c>
    </row>
    <row customHeight="1" ht="11.25">
      <c r="A53" s="373" t="s">
        <v>16</v>
      </c>
      <c r="B53" s="0" t="s">
        <v>3062</v>
      </c>
      <c r="C53" s="0" t="s">
        <v>3063</v>
      </c>
      <c r="D53" s="0" t="s">
        <v>3090</v>
      </c>
      <c r="E53" s="0" t="s">
        <v>3091</v>
      </c>
      <c r="F53" s="0" t="s">
        <v>2989</v>
      </c>
      <c r="G53" s="0" t="s">
        <v>1682</v>
      </c>
    </row>
    <row customHeight="1" ht="11.25">
      <c r="A54" s="373" t="s">
        <v>16</v>
      </c>
      <c r="B54" s="0" t="s">
        <v>3062</v>
      </c>
      <c r="C54" s="0" t="s">
        <v>3063</v>
      </c>
      <c r="D54" s="0" t="s">
        <v>3092</v>
      </c>
      <c r="E54" s="0" t="s">
        <v>3093</v>
      </c>
      <c r="F54" s="0" t="s">
        <v>3059</v>
      </c>
      <c r="G54" s="0" t="s">
        <v>1685</v>
      </c>
    </row>
    <row customHeight="1" ht="11.25">
      <c r="A55" s="373" t="s">
        <v>16</v>
      </c>
      <c r="B55" s="0" t="s">
        <v>3094</v>
      </c>
      <c r="C55" s="0" t="s">
        <v>3095</v>
      </c>
      <c r="D55" s="0" t="s">
        <v>3096</v>
      </c>
      <c r="E55" s="0" t="s">
        <v>3097</v>
      </c>
      <c r="F55" s="0" t="s">
        <v>2989</v>
      </c>
      <c r="G55" s="0" t="s">
        <v>1689</v>
      </c>
    </row>
    <row customHeight="1" ht="11.25">
      <c r="A56" s="373" t="s">
        <v>16</v>
      </c>
      <c r="B56" s="0" t="s">
        <v>3094</v>
      </c>
      <c r="C56" s="0" t="s">
        <v>3095</v>
      </c>
      <c r="D56" s="0" t="s">
        <v>3094</v>
      </c>
      <c r="E56" s="0" t="s">
        <v>3095</v>
      </c>
      <c r="F56" s="0" t="s">
        <v>2990</v>
      </c>
      <c r="G56" s="0" t="s">
        <v>1692</v>
      </c>
    </row>
    <row customHeight="1" ht="11.25">
      <c r="A57" s="373" t="s">
        <v>16</v>
      </c>
      <c r="B57" s="0" t="s">
        <v>3094</v>
      </c>
      <c r="C57" s="0" t="s">
        <v>3095</v>
      </c>
      <c r="D57" s="0" t="s">
        <v>3098</v>
      </c>
      <c r="E57" s="0" t="s">
        <v>3099</v>
      </c>
      <c r="F57" s="0" t="s">
        <v>2989</v>
      </c>
      <c r="G57" s="0" t="s">
        <v>1695</v>
      </c>
    </row>
    <row customHeight="1" ht="11.25">
      <c r="A58" s="373" t="s">
        <v>16</v>
      </c>
      <c r="B58" s="0" t="s">
        <v>3094</v>
      </c>
      <c r="C58" s="0" t="s">
        <v>3095</v>
      </c>
      <c r="D58" s="0" t="s">
        <v>3100</v>
      </c>
      <c r="E58" s="0" t="s">
        <v>3101</v>
      </c>
      <c r="F58" s="0" t="s">
        <v>2989</v>
      </c>
      <c r="G58" s="0" t="s">
        <v>1698</v>
      </c>
    </row>
    <row customHeight="1" ht="11.25">
      <c r="A59" s="373" t="s">
        <v>16</v>
      </c>
      <c r="B59" s="0" t="s">
        <v>3094</v>
      </c>
      <c r="C59" s="0" t="s">
        <v>3095</v>
      </c>
      <c r="D59" s="0" t="s">
        <v>3102</v>
      </c>
      <c r="E59" s="0" t="s">
        <v>3103</v>
      </c>
      <c r="F59" s="0" t="s">
        <v>2989</v>
      </c>
      <c r="G59" s="0" t="s">
        <v>1702</v>
      </c>
    </row>
    <row customHeight="1" ht="11.25">
      <c r="A60" s="373" t="s">
        <v>16</v>
      </c>
      <c r="B60" s="0" t="s">
        <v>3094</v>
      </c>
      <c r="C60" s="0" t="s">
        <v>3095</v>
      </c>
      <c r="D60" s="0" t="s">
        <v>3104</v>
      </c>
      <c r="E60" s="0" t="s">
        <v>3105</v>
      </c>
      <c r="F60" s="0" t="s">
        <v>2989</v>
      </c>
      <c r="G60" s="0" t="s">
        <v>1705</v>
      </c>
    </row>
    <row customHeight="1" ht="11.25">
      <c r="A61" s="373" t="s">
        <v>16</v>
      </c>
      <c r="B61" s="0" t="s">
        <v>3094</v>
      </c>
      <c r="C61" s="0" t="s">
        <v>3095</v>
      </c>
      <c r="D61" s="0" t="s">
        <v>3106</v>
      </c>
      <c r="E61" s="0" t="s">
        <v>3107</v>
      </c>
      <c r="F61" s="0" t="s">
        <v>2989</v>
      </c>
      <c r="G61" s="0" t="s">
        <v>3108</v>
      </c>
    </row>
    <row customHeight="1" ht="11.25">
      <c r="A62" s="373" t="s">
        <v>16</v>
      </c>
      <c r="B62" s="0" t="s">
        <v>3094</v>
      </c>
      <c r="C62" s="0" t="s">
        <v>3095</v>
      </c>
      <c r="D62" s="0" t="s">
        <v>3109</v>
      </c>
      <c r="E62" s="0" t="s">
        <v>3110</v>
      </c>
      <c r="F62" s="0" t="s">
        <v>2989</v>
      </c>
      <c r="G62" s="0" t="s">
        <v>3111</v>
      </c>
    </row>
    <row customHeight="1" ht="11.25">
      <c r="A63" s="373" t="s">
        <v>16</v>
      </c>
      <c r="B63" s="0" t="s">
        <v>3094</v>
      </c>
      <c r="C63" s="0" t="s">
        <v>3095</v>
      </c>
      <c r="D63" s="0" t="s">
        <v>3112</v>
      </c>
      <c r="E63" s="0" t="s">
        <v>3113</v>
      </c>
      <c r="F63" s="0" t="s">
        <v>3114</v>
      </c>
      <c r="G63" s="0" t="s">
        <v>3115</v>
      </c>
    </row>
    <row customHeight="1" ht="11.25">
      <c r="A64" s="373" t="s">
        <v>16</v>
      </c>
      <c r="B64" s="0" t="s">
        <v>3116</v>
      </c>
      <c r="C64" s="0" t="s">
        <v>3117</v>
      </c>
      <c r="D64" s="0" t="s">
        <v>3118</v>
      </c>
      <c r="E64" s="0" t="s">
        <v>3119</v>
      </c>
      <c r="F64" s="0" t="s">
        <v>2989</v>
      </c>
      <c r="G64" s="0" t="s">
        <v>3120</v>
      </c>
    </row>
    <row customHeight="1" ht="11.25">
      <c r="A65" s="373" t="s">
        <v>16</v>
      </c>
      <c r="B65" s="0" t="s">
        <v>3116</v>
      </c>
      <c r="C65" s="0" t="s">
        <v>3117</v>
      </c>
      <c r="D65" s="0" t="s">
        <v>3121</v>
      </c>
      <c r="E65" s="0" t="s">
        <v>3122</v>
      </c>
      <c r="F65" s="0" t="s">
        <v>2989</v>
      </c>
      <c r="G65" s="0" t="s">
        <v>3123</v>
      </c>
    </row>
    <row customHeight="1" ht="11.25">
      <c r="A66" s="373" t="s">
        <v>16</v>
      </c>
      <c r="B66" s="0" t="s">
        <v>3116</v>
      </c>
      <c r="C66" s="0" t="s">
        <v>3117</v>
      </c>
      <c r="D66" s="0" t="s">
        <v>3124</v>
      </c>
      <c r="E66" s="0" t="s">
        <v>3125</v>
      </c>
      <c r="F66" s="0" t="s">
        <v>2989</v>
      </c>
      <c r="G66" s="0" t="s">
        <v>3126</v>
      </c>
    </row>
    <row customHeight="1" ht="11.25">
      <c r="A67" s="373" t="s">
        <v>16</v>
      </c>
      <c r="B67" s="0" t="s">
        <v>3116</v>
      </c>
      <c r="C67" s="0" t="s">
        <v>3117</v>
      </c>
      <c r="D67" s="0" t="s">
        <v>3127</v>
      </c>
      <c r="E67" s="0" t="s">
        <v>3128</v>
      </c>
      <c r="F67" s="0" t="s">
        <v>2989</v>
      </c>
      <c r="G67" s="0" t="s">
        <v>47</v>
      </c>
    </row>
    <row customHeight="1" ht="11.25">
      <c r="A68" s="373" t="s">
        <v>16</v>
      </c>
      <c r="B68" s="0" t="s">
        <v>3116</v>
      </c>
      <c r="C68" s="0" t="s">
        <v>3117</v>
      </c>
      <c r="D68" s="0" t="s">
        <v>3116</v>
      </c>
      <c r="E68" s="0" t="s">
        <v>3117</v>
      </c>
      <c r="F68" s="0" t="s">
        <v>2990</v>
      </c>
      <c r="G68" s="0" t="s">
        <v>3129</v>
      </c>
    </row>
    <row customHeight="1" ht="11.25">
      <c r="A69" s="373" t="s">
        <v>16</v>
      </c>
      <c r="B69" s="0" t="s">
        <v>3116</v>
      </c>
      <c r="C69" s="0" t="s">
        <v>3117</v>
      </c>
      <c r="D69" s="0" t="s">
        <v>3130</v>
      </c>
      <c r="E69" s="0" t="s">
        <v>3131</v>
      </c>
      <c r="F69" s="0" t="s">
        <v>2989</v>
      </c>
      <c r="G69" s="0" t="s">
        <v>2226</v>
      </c>
    </row>
    <row customHeight="1" ht="11.25">
      <c r="A70" s="373" t="s">
        <v>16</v>
      </c>
      <c r="B70" s="0" t="s">
        <v>3116</v>
      </c>
      <c r="C70" s="0" t="s">
        <v>3117</v>
      </c>
      <c r="D70" s="0" t="s">
        <v>3132</v>
      </c>
      <c r="E70" s="0" t="s">
        <v>3133</v>
      </c>
      <c r="F70" s="0" t="s">
        <v>2989</v>
      </c>
      <c r="G70" s="0" t="s">
        <v>3134</v>
      </c>
    </row>
    <row customHeight="1" ht="11.25">
      <c r="A71" s="373" t="s">
        <v>16</v>
      </c>
      <c r="B71" s="0" t="s">
        <v>3116</v>
      </c>
      <c r="C71" s="0" t="s">
        <v>3117</v>
      </c>
      <c r="D71" s="0" t="s">
        <v>3135</v>
      </c>
      <c r="E71" s="0" t="s">
        <v>3136</v>
      </c>
      <c r="F71" s="0" t="s">
        <v>2989</v>
      </c>
      <c r="G71" s="0" t="s">
        <v>3137</v>
      </c>
    </row>
    <row customHeight="1" ht="11.25">
      <c r="A72" s="373" t="s">
        <v>16</v>
      </c>
      <c r="B72" s="0" t="s">
        <v>3116</v>
      </c>
      <c r="C72" s="0" t="s">
        <v>3117</v>
      </c>
      <c r="D72" s="0" t="s">
        <v>3138</v>
      </c>
      <c r="E72" s="0" t="s">
        <v>3139</v>
      </c>
      <c r="F72" s="0" t="s">
        <v>2989</v>
      </c>
      <c r="G72" s="0" t="s">
        <v>3140</v>
      </c>
    </row>
    <row customHeight="1" ht="11.25">
      <c r="A73" s="373" t="s">
        <v>16</v>
      </c>
      <c r="B73" s="0" t="s">
        <v>3116</v>
      </c>
      <c r="C73" s="0" t="s">
        <v>3117</v>
      </c>
      <c r="D73" s="0" t="s">
        <v>3141</v>
      </c>
      <c r="E73" s="0" t="s">
        <v>3142</v>
      </c>
      <c r="F73" s="0" t="s">
        <v>2989</v>
      </c>
      <c r="G73" s="0" t="s">
        <v>3143</v>
      </c>
    </row>
    <row customHeight="1" ht="11.25">
      <c r="A74" s="373" t="s">
        <v>16</v>
      </c>
      <c r="B74" s="0" t="s">
        <v>3116</v>
      </c>
      <c r="C74" s="0" t="s">
        <v>3117</v>
      </c>
      <c r="D74" s="0" t="s">
        <v>3144</v>
      </c>
      <c r="E74" s="0" t="s">
        <v>3145</v>
      </c>
      <c r="F74" s="0" t="s">
        <v>2989</v>
      </c>
      <c r="G74" s="0" t="s">
        <v>3146</v>
      </c>
    </row>
    <row customHeight="1" ht="11.25">
      <c r="A75" s="373" t="s">
        <v>16</v>
      </c>
      <c r="B75" s="0" t="s">
        <v>3116</v>
      </c>
      <c r="C75" s="0" t="s">
        <v>3117</v>
      </c>
      <c r="D75" s="0" t="s">
        <v>3147</v>
      </c>
      <c r="E75" s="0" t="s">
        <v>3148</v>
      </c>
      <c r="F75" s="0" t="s">
        <v>2989</v>
      </c>
      <c r="G75" s="0" t="s">
        <v>3149</v>
      </c>
    </row>
    <row customHeight="1" ht="11.25">
      <c r="A76" s="373" t="s">
        <v>16</v>
      </c>
      <c r="B76" s="0" t="s">
        <v>3116</v>
      </c>
      <c r="C76" s="0" t="s">
        <v>3117</v>
      </c>
      <c r="D76" s="0" t="s">
        <v>3150</v>
      </c>
      <c r="E76" s="0" t="s">
        <v>3151</v>
      </c>
      <c r="F76" s="0" t="s">
        <v>2989</v>
      </c>
      <c r="G76" s="0" t="s">
        <v>3152</v>
      </c>
    </row>
    <row customHeight="1" ht="11.25">
      <c r="A77" s="373" t="s">
        <v>16</v>
      </c>
      <c r="B77" s="0" t="s">
        <v>3116</v>
      </c>
      <c r="C77" s="0" t="s">
        <v>3117</v>
      </c>
      <c r="D77" s="0" t="s">
        <v>3153</v>
      </c>
      <c r="E77" s="0" t="s">
        <v>3154</v>
      </c>
      <c r="F77" s="0" t="s">
        <v>3059</v>
      </c>
      <c r="G77" s="0" t="s">
        <v>3155</v>
      </c>
    </row>
    <row customHeight="1" ht="11.25">
      <c r="A78" s="373" t="s">
        <v>16</v>
      </c>
      <c r="B78" s="0" t="s">
        <v>3156</v>
      </c>
      <c r="C78" s="0" t="s">
        <v>3157</v>
      </c>
      <c r="D78" s="0" t="s">
        <v>3158</v>
      </c>
      <c r="E78" s="0" t="s">
        <v>3159</v>
      </c>
      <c r="F78" s="0" t="s">
        <v>2989</v>
      </c>
      <c r="G78" s="0" t="s">
        <v>3160</v>
      </c>
    </row>
    <row customHeight="1" ht="11.25">
      <c r="A79" s="373" t="s">
        <v>16</v>
      </c>
      <c r="B79" s="0" t="s">
        <v>3156</v>
      </c>
      <c r="C79" s="0" t="s">
        <v>3157</v>
      </c>
      <c r="D79" s="0" t="s">
        <v>3161</v>
      </c>
      <c r="E79" s="0" t="s">
        <v>3162</v>
      </c>
      <c r="F79" s="0" t="s">
        <v>2989</v>
      </c>
      <c r="G79" s="0" t="s">
        <v>3163</v>
      </c>
    </row>
    <row customHeight="1" ht="11.25">
      <c r="A80" s="373" t="s">
        <v>16</v>
      </c>
      <c r="B80" s="0" t="s">
        <v>3156</v>
      </c>
      <c r="C80" s="0" t="s">
        <v>3157</v>
      </c>
      <c r="D80" s="0" t="s">
        <v>3164</v>
      </c>
      <c r="E80" s="0" t="s">
        <v>3165</v>
      </c>
      <c r="F80" s="0" t="s">
        <v>2989</v>
      </c>
      <c r="G80" s="0" t="s">
        <v>3166</v>
      </c>
    </row>
    <row customHeight="1" ht="11.25">
      <c r="A81" s="373" t="s">
        <v>16</v>
      </c>
      <c r="B81" s="0" t="s">
        <v>3156</v>
      </c>
      <c r="C81" s="0" t="s">
        <v>3157</v>
      </c>
      <c r="D81" s="0" t="s">
        <v>3167</v>
      </c>
      <c r="E81" s="0" t="s">
        <v>3168</v>
      </c>
      <c r="F81" s="0" t="s">
        <v>2989</v>
      </c>
      <c r="G81" s="0" t="s">
        <v>3169</v>
      </c>
    </row>
    <row customHeight="1" ht="11.25">
      <c r="A82" s="373" t="s">
        <v>16</v>
      </c>
      <c r="B82" s="0" t="s">
        <v>3156</v>
      </c>
      <c r="C82" s="0" t="s">
        <v>3157</v>
      </c>
      <c r="D82" s="0" t="s">
        <v>3170</v>
      </c>
      <c r="E82" s="0" t="s">
        <v>3171</v>
      </c>
      <c r="F82" s="0" t="s">
        <v>2989</v>
      </c>
      <c r="G82" s="0" t="s">
        <v>3172</v>
      </c>
    </row>
    <row customHeight="1" ht="11.25">
      <c r="A83" s="373" t="s">
        <v>16</v>
      </c>
      <c r="B83" s="0" t="s">
        <v>3156</v>
      </c>
      <c r="C83" s="0" t="s">
        <v>3157</v>
      </c>
      <c r="D83" s="0" t="s">
        <v>3156</v>
      </c>
      <c r="E83" s="0" t="s">
        <v>3157</v>
      </c>
      <c r="F83" s="0" t="s">
        <v>2990</v>
      </c>
      <c r="G83" s="0" t="s">
        <v>3173</v>
      </c>
    </row>
    <row customHeight="1" ht="11.25">
      <c r="A84" s="373" t="s">
        <v>16</v>
      </c>
      <c r="B84" s="0" t="s">
        <v>3156</v>
      </c>
      <c r="C84" s="0" t="s">
        <v>3157</v>
      </c>
      <c r="D84" s="0" t="s">
        <v>3174</v>
      </c>
      <c r="E84" s="0" t="s">
        <v>3175</v>
      </c>
      <c r="F84" s="0" t="s">
        <v>2989</v>
      </c>
      <c r="G84" s="0" t="s">
        <v>3176</v>
      </c>
    </row>
    <row customHeight="1" ht="11.25">
      <c r="A85" s="373" t="s">
        <v>16</v>
      </c>
      <c r="B85" s="0" t="s">
        <v>3156</v>
      </c>
      <c r="C85" s="0" t="s">
        <v>3157</v>
      </c>
      <c r="D85" s="0" t="s">
        <v>3177</v>
      </c>
      <c r="E85" s="0" t="s">
        <v>3178</v>
      </c>
      <c r="F85" s="0" t="s">
        <v>2989</v>
      </c>
      <c r="G85" s="0" t="s">
        <v>3179</v>
      </c>
    </row>
    <row customHeight="1" ht="11.25">
      <c r="A86" s="373" t="s">
        <v>16</v>
      </c>
      <c r="B86" s="0" t="s">
        <v>3156</v>
      </c>
      <c r="C86" s="0" t="s">
        <v>3157</v>
      </c>
      <c r="D86" s="0" t="s">
        <v>3180</v>
      </c>
      <c r="E86" s="0" t="s">
        <v>3181</v>
      </c>
      <c r="F86" s="0" t="s">
        <v>2989</v>
      </c>
      <c r="G86" s="0" t="s">
        <v>3182</v>
      </c>
    </row>
    <row customHeight="1" ht="11.25">
      <c r="A87" s="373" t="s">
        <v>16</v>
      </c>
      <c r="B87" s="0" t="s">
        <v>3156</v>
      </c>
      <c r="C87" s="0" t="s">
        <v>3157</v>
      </c>
      <c r="D87" s="0" t="s">
        <v>3183</v>
      </c>
      <c r="E87" s="0" t="s">
        <v>3184</v>
      </c>
      <c r="F87" s="0" t="s">
        <v>2989</v>
      </c>
      <c r="G87" s="0" t="s">
        <v>3185</v>
      </c>
    </row>
    <row customHeight="1" ht="11.25">
      <c r="A88" s="373" t="s">
        <v>16</v>
      </c>
      <c r="B88" s="0" t="s">
        <v>3156</v>
      </c>
      <c r="C88" s="0" t="s">
        <v>3157</v>
      </c>
      <c r="D88" s="0" t="s">
        <v>3186</v>
      </c>
      <c r="E88" s="0" t="s">
        <v>3187</v>
      </c>
      <c r="F88" s="0" t="s">
        <v>3059</v>
      </c>
      <c r="G88" s="0" t="s">
        <v>3188</v>
      </c>
    </row>
    <row customHeight="1" ht="11.25">
      <c r="A89" s="373" t="s">
        <v>16</v>
      </c>
      <c r="B89" s="0" t="s">
        <v>3189</v>
      </c>
      <c r="C89" s="0" t="s">
        <v>3190</v>
      </c>
      <c r="D89" s="0" t="s">
        <v>3035</v>
      </c>
      <c r="E89" s="0" t="s">
        <v>3191</v>
      </c>
      <c r="F89" s="0" t="s">
        <v>2989</v>
      </c>
      <c r="G89" s="0" t="s">
        <v>3192</v>
      </c>
    </row>
    <row customHeight="1" ht="11.25">
      <c r="A90" s="373" t="s">
        <v>16</v>
      </c>
      <c r="B90" s="0" t="s">
        <v>3189</v>
      </c>
      <c r="C90" s="0" t="s">
        <v>3190</v>
      </c>
      <c r="D90" s="0" t="s">
        <v>3193</v>
      </c>
      <c r="E90" s="0" t="s">
        <v>3194</v>
      </c>
      <c r="F90" s="0" t="s">
        <v>2989</v>
      </c>
      <c r="G90" s="0" t="s">
        <v>3195</v>
      </c>
    </row>
    <row customHeight="1" ht="11.25">
      <c r="A91" s="373" t="s">
        <v>16</v>
      </c>
      <c r="B91" s="0" t="s">
        <v>3189</v>
      </c>
      <c r="C91" s="0" t="s">
        <v>3190</v>
      </c>
      <c r="D91" s="0" t="s">
        <v>3196</v>
      </c>
      <c r="E91" s="0" t="s">
        <v>3197</v>
      </c>
      <c r="F91" s="0" t="s">
        <v>2989</v>
      </c>
      <c r="G91" s="0" t="s">
        <v>3198</v>
      </c>
    </row>
    <row customHeight="1" ht="11.25">
      <c r="A92" s="373" t="s">
        <v>16</v>
      </c>
      <c r="B92" s="0" t="s">
        <v>3189</v>
      </c>
      <c r="C92" s="0" t="s">
        <v>3190</v>
      </c>
      <c r="D92" s="0" t="s">
        <v>3199</v>
      </c>
      <c r="E92" s="0" t="s">
        <v>3200</v>
      </c>
      <c r="F92" s="0" t="s">
        <v>2989</v>
      </c>
      <c r="G92" s="0" t="s">
        <v>3201</v>
      </c>
    </row>
    <row customHeight="1" ht="11.25">
      <c r="A93" s="373" t="s">
        <v>16</v>
      </c>
      <c r="B93" s="0" t="s">
        <v>3189</v>
      </c>
      <c r="C93" s="0" t="s">
        <v>3190</v>
      </c>
      <c r="D93" s="0" t="s">
        <v>3202</v>
      </c>
      <c r="E93" s="0" t="s">
        <v>3203</v>
      </c>
      <c r="F93" s="0" t="s">
        <v>2989</v>
      </c>
      <c r="G93" s="0" t="s">
        <v>3204</v>
      </c>
    </row>
    <row customHeight="1" ht="11.25">
      <c r="A94" s="373" t="s">
        <v>16</v>
      </c>
      <c r="B94" s="0" t="s">
        <v>3189</v>
      </c>
      <c r="C94" s="0" t="s">
        <v>3190</v>
      </c>
      <c r="D94" s="0" t="s">
        <v>3189</v>
      </c>
      <c r="E94" s="0" t="s">
        <v>3190</v>
      </c>
      <c r="F94" s="0" t="s">
        <v>2990</v>
      </c>
      <c r="G94" s="0" t="s">
        <v>3205</v>
      </c>
    </row>
    <row customHeight="1" ht="11.25">
      <c r="A95" s="373" t="s">
        <v>16</v>
      </c>
      <c r="B95" s="0" t="s">
        <v>3189</v>
      </c>
      <c r="C95" s="0" t="s">
        <v>3190</v>
      </c>
      <c r="D95" s="0" t="s">
        <v>3206</v>
      </c>
      <c r="E95" s="0" t="s">
        <v>3207</v>
      </c>
      <c r="F95" s="0" t="s">
        <v>2989</v>
      </c>
      <c r="G95" s="0" t="s">
        <v>3208</v>
      </c>
    </row>
    <row customHeight="1" ht="11.25">
      <c r="A96" s="373" t="s">
        <v>16</v>
      </c>
      <c r="B96" s="0" t="s">
        <v>3189</v>
      </c>
      <c r="C96" s="0" t="s">
        <v>3190</v>
      </c>
      <c r="D96" s="0" t="s">
        <v>3209</v>
      </c>
      <c r="E96" s="0" t="s">
        <v>3210</v>
      </c>
      <c r="F96" s="0" t="s">
        <v>2989</v>
      </c>
      <c r="G96" s="0" t="s">
        <v>3211</v>
      </c>
    </row>
    <row customHeight="1" ht="11.25">
      <c r="A97" s="373" t="s">
        <v>16</v>
      </c>
      <c r="B97" s="0" t="s">
        <v>3189</v>
      </c>
      <c r="C97" s="0" t="s">
        <v>3190</v>
      </c>
      <c r="D97" s="0" t="s">
        <v>3212</v>
      </c>
      <c r="E97" s="0" t="s">
        <v>3213</v>
      </c>
      <c r="F97" s="0" t="s">
        <v>2989</v>
      </c>
      <c r="G97" s="0" t="s">
        <v>3214</v>
      </c>
    </row>
    <row customHeight="1" ht="11.25">
      <c r="A98" s="373" t="s">
        <v>16</v>
      </c>
      <c r="B98" s="0" t="s">
        <v>3189</v>
      </c>
      <c r="C98" s="0" t="s">
        <v>3190</v>
      </c>
      <c r="D98" s="0" t="s">
        <v>3215</v>
      </c>
      <c r="E98" s="0" t="s">
        <v>3216</v>
      </c>
      <c r="F98" s="0" t="s">
        <v>2989</v>
      </c>
      <c r="G98" s="0" t="s">
        <v>3217</v>
      </c>
    </row>
    <row customHeight="1" ht="11.25">
      <c r="A99" s="373" t="s">
        <v>16</v>
      </c>
      <c r="B99" s="0" t="s">
        <v>3189</v>
      </c>
      <c r="C99" s="0" t="s">
        <v>3190</v>
      </c>
      <c r="D99" s="0" t="s">
        <v>3218</v>
      </c>
      <c r="E99" s="0" t="s">
        <v>3219</v>
      </c>
      <c r="F99" s="0" t="s">
        <v>2989</v>
      </c>
      <c r="G99" s="0" t="s">
        <v>3220</v>
      </c>
    </row>
    <row customHeight="1" ht="11.25">
      <c r="A100" s="373" t="s">
        <v>16</v>
      </c>
      <c r="B100" s="0" t="s">
        <v>3189</v>
      </c>
      <c r="C100" s="0" t="s">
        <v>3190</v>
      </c>
      <c r="D100" s="0" t="s">
        <v>3221</v>
      </c>
      <c r="E100" s="0" t="s">
        <v>3222</v>
      </c>
      <c r="F100" s="0" t="s">
        <v>2989</v>
      </c>
      <c r="G100" s="0" t="s">
        <v>3223</v>
      </c>
    </row>
    <row customHeight="1" ht="11.25">
      <c r="A101" s="373" t="s">
        <v>16</v>
      </c>
      <c r="B101" s="0" t="s">
        <v>3189</v>
      </c>
      <c r="C101" s="0" t="s">
        <v>3190</v>
      </c>
      <c r="D101" s="0" t="s">
        <v>3224</v>
      </c>
      <c r="E101" s="0" t="s">
        <v>3225</v>
      </c>
      <c r="F101" s="0" t="s">
        <v>2989</v>
      </c>
      <c r="G101" s="0" t="s">
        <v>3226</v>
      </c>
    </row>
    <row customHeight="1" ht="11.25">
      <c r="A102" s="373" t="s">
        <v>16</v>
      </c>
      <c r="B102" s="0" t="s">
        <v>3189</v>
      </c>
      <c r="C102" s="0" t="s">
        <v>3190</v>
      </c>
      <c r="D102" s="0" t="s">
        <v>3227</v>
      </c>
      <c r="E102" s="0" t="s">
        <v>3228</v>
      </c>
      <c r="F102" s="0" t="s">
        <v>2989</v>
      </c>
      <c r="G102" s="0" t="s">
        <v>3229</v>
      </c>
    </row>
    <row customHeight="1" ht="11.25">
      <c r="A103" s="373" t="s">
        <v>16</v>
      </c>
      <c r="B103" s="0" t="s">
        <v>3189</v>
      </c>
      <c r="C103" s="0" t="s">
        <v>3190</v>
      </c>
      <c r="D103" s="0" t="s">
        <v>3230</v>
      </c>
      <c r="E103" s="0" t="s">
        <v>3231</v>
      </c>
      <c r="F103" s="0" t="s">
        <v>3059</v>
      </c>
      <c r="G103" s="0" t="s">
        <v>3232</v>
      </c>
    </row>
    <row customHeight="1" ht="11.25">
      <c r="A104" s="373" t="s">
        <v>16</v>
      </c>
      <c r="B104" s="0" t="s">
        <v>3189</v>
      </c>
      <c r="C104" s="0" t="s">
        <v>3190</v>
      </c>
      <c r="D104" s="0" t="s">
        <v>3233</v>
      </c>
      <c r="E104" s="0" t="s">
        <v>3234</v>
      </c>
      <c r="F104" s="0" t="s">
        <v>3059</v>
      </c>
      <c r="G104" s="0" t="s">
        <v>3235</v>
      </c>
    </row>
    <row customHeight="1" ht="11.25">
      <c r="A105" s="373" t="s">
        <v>16</v>
      </c>
      <c r="B105" s="0" t="s">
        <v>3189</v>
      </c>
      <c r="C105" s="0" t="s">
        <v>3190</v>
      </c>
      <c r="D105" s="0" t="s">
        <v>3236</v>
      </c>
      <c r="E105" s="0" t="s">
        <v>3237</v>
      </c>
      <c r="F105" s="0" t="s">
        <v>3059</v>
      </c>
      <c r="G105" s="0" t="s">
        <v>3238</v>
      </c>
    </row>
    <row customHeight="1" ht="11.25">
      <c r="A106" s="373" t="s">
        <v>16</v>
      </c>
      <c r="B106" s="0" t="s">
        <v>3239</v>
      </c>
      <c r="C106" s="0" t="s">
        <v>3240</v>
      </c>
      <c r="D106" s="0" t="s">
        <v>3241</v>
      </c>
      <c r="E106" s="0" t="s">
        <v>3242</v>
      </c>
      <c r="F106" s="0" t="s">
        <v>2989</v>
      </c>
      <c r="G106" s="0" t="s">
        <v>3243</v>
      </c>
    </row>
    <row customHeight="1" ht="11.25">
      <c r="A107" s="373" t="s">
        <v>16</v>
      </c>
      <c r="B107" s="0" t="s">
        <v>3239</v>
      </c>
      <c r="C107" s="0" t="s">
        <v>3240</v>
      </c>
      <c r="D107" s="0" t="s">
        <v>3244</v>
      </c>
      <c r="E107" s="0" t="s">
        <v>3245</v>
      </c>
      <c r="F107" s="0" t="s">
        <v>2989</v>
      </c>
      <c r="G107" s="0" t="s">
        <v>3246</v>
      </c>
    </row>
    <row customHeight="1" ht="11.25">
      <c r="A108" s="373" t="s">
        <v>16</v>
      </c>
      <c r="B108" s="0" t="s">
        <v>3239</v>
      </c>
      <c r="C108" s="0" t="s">
        <v>3240</v>
      </c>
      <c r="D108" s="0" t="s">
        <v>3247</v>
      </c>
      <c r="E108" s="0" t="s">
        <v>3248</v>
      </c>
      <c r="F108" s="0" t="s">
        <v>2989</v>
      </c>
      <c r="G108" s="0" t="s">
        <v>3249</v>
      </c>
    </row>
    <row customHeight="1" ht="11.25">
      <c r="A109" s="373" t="s">
        <v>16</v>
      </c>
      <c r="B109" s="0" t="s">
        <v>3239</v>
      </c>
      <c r="C109" s="0" t="s">
        <v>3240</v>
      </c>
      <c r="D109" s="0" t="s">
        <v>3239</v>
      </c>
      <c r="E109" s="0" t="s">
        <v>3240</v>
      </c>
      <c r="F109" s="0" t="s">
        <v>2990</v>
      </c>
      <c r="G109" s="0" t="s">
        <v>3250</v>
      </c>
    </row>
    <row customHeight="1" ht="11.25">
      <c r="A110" s="373" t="s">
        <v>16</v>
      </c>
      <c r="B110" s="0" t="s">
        <v>3239</v>
      </c>
      <c r="C110" s="0" t="s">
        <v>3240</v>
      </c>
      <c r="D110" s="0" t="s">
        <v>3251</v>
      </c>
      <c r="E110" s="0" t="s">
        <v>3252</v>
      </c>
      <c r="F110" s="0" t="s">
        <v>2989</v>
      </c>
      <c r="G110" s="0" t="s">
        <v>3253</v>
      </c>
    </row>
    <row customHeight="1" ht="11.25">
      <c r="A111" s="373" t="s">
        <v>16</v>
      </c>
      <c r="B111" s="0" t="s">
        <v>3239</v>
      </c>
      <c r="C111" s="0" t="s">
        <v>3240</v>
      </c>
      <c r="D111" s="0" t="s">
        <v>3254</v>
      </c>
      <c r="E111" s="0" t="s">
        <v>3255</v>
      </c>
      <c r="F111" s="0" t="s">
        <v>2989</v>
      </c>
      <c r="G111" s="0" t="s">
        <v>3256</v>
      </c>
    </row>
    <row customHeight="1" ht="11.25">
      <c r="A112" s="373" t="s">
        <v>16</v>
      </c>
      <c r="B112" s="0" t="s">
        <v>3239</v>
      </c>
      <c r="C112" s="0" t="s">
        <v>3240</v>
      </c>
      <c r="D112" s="0" t="s">
        <v>3257</v>
      </c>
      <c r="E112" s="0" t="s">
        <v>3258</v>
      </c>
      <c r="F112" s="0" t="s">
        <v>2989</v>
      </c>
      <c r="G112" s="0" t="s">
        <v>3259</v>
      </c>
    </row>
    <row customHeight="1" ht="11.25">
      <c r="A113" s="373" t="s">
        <v>16</v>
      </c>
      <c r="B113" s="0" t="s">
        <v>3239</v>
      </c>
      <c r="C113" s="0" t="s">
        <v>3240</v>
      </c>
      <c r="D113" s="0" t="s">
        <v>3260</v>
      </c>
      <c r="E113" s="0" t="s">
        <v>3261</v>
      </c>
      <c r="F113" s="0" t="s">
        <v>2989</v>
      </c>
      <c r="G113" s="0" t="s">
        <v>3262</v>
      </c>
    </row>
    <row customHeight="1" ht="11.25">
      <c r="A114" s="373" t="s">
        <v>16</v>
      </c>
      <c r="B114" s="0" t="s">
        <v>3239</v>
      </c>
      <c r="C114" s="0" t="s">
        <v>3240</v>
      </c>
      <c r="D114" s="0" t="s">
        <v>3263</v>
      </c>
      <c r="E114" s="0" t="s">
        <v>3264</v>
      </c>
      <c r="F114" s="0" t="s">
        <v>2989</v>
      </c>
      <c r="G114" s="0" t="s">
        <v>3265</v>
      </c>
    </row>
    <row customHeight="1" ht="11.25">
      <c r="A115" s="373" t="s">
        <v>16</v>
      </c>
      <c r="B115" s="0" t="s">
        <v>3239</v>
      </c>
      <c r="C115" s="0" t="s">
        <v>3240</v>
      </c>
      <c r="D115" s="0" t="s">
        <v>3266</v>
      </c>
      <c r="E115" s="0" t="s">
        <v>3267</v>
      </c>
      <c r="F115" s="0" t="s">
        <v>2989</v>
      </c>
      <c r="G115" s="0" t="s">
        <v>3268</v>
      </c>
    </row>
    <row customHeight="1" ht="11.25">
      <c r="A116" s="373" t="s">
        <v>16</v>
      </c>
      <c r="B116" s="0" t="s">
        <v>3239</v>
      </c>
      <c r="C116" s="0" t="s">
        <v>3240</v>
      </c>
      <c r="D116" s="0" t="s">
        <v>3269</v>
      </c>
      <c r="E116" s="0" t="s">
        <v>3270</v>
      </c>
      <c r="F116" s="0" t="s">
        <v>3059</v>
      </c>
      <c r="G116" s="0" t="s">
        <v>3271</v>
      </c>
    </row>
    <row customHeight="1" ht="11.25">
      <c r="A117" s="373" t="s">
        <v>16</v>
      </c>
      <c r="B117" s="0" t="s">
        <v>3272</v>
      </c>
      <c r="C117" s="0" t="s">
        <v>3273</v>
      </c>
      <c r="D117" s="0" t="s">
        <v>3274</v>
      </c>
      <c r="E117" s="0" t="s">
        <v>3275</v>
      </c>
      <c r="F117" s="0" t="s">
        <v>2989</v>
      </c>
      <c r="G117" s="0" t="s">
        <v>3276</v>
      </c>
    </row>
    <row customHeight="1" ht="11.25">
      <c r="A118" s="373" t="s">
        <v>16</v>
      </c>
      <c r="B118" s="0" t="s">
        <v>3272</v>
      </c>
      <c r="C118" s="0" t="s">
        <v>3273</v>
      </c>
      <c r="D118" s="0" t="s">
        <v>3277</v>
      </c>
      <c r="E118" s="0" t="s">
        <v>3278</v>
      </c>
      <c r="F118" s="0" t="s">
        <v>2989</v>
      </c>
      <c r="G118" s="0" t="s">
        <v>3279</v>
      </c>
    </row>
    <row customHeight="1" ht="11.25">
      <c r="A119" s="373" t="s">
        <v>16</v>
      </c>
      <c r="B119" s="0" t="s">
        <v>3272</v>
      </c>
      <c r="C119" s="0" t="s">
        <v>3273</v>
      </c>
      <c r="D119" s="0" t="s">
        <v>3272</v>
      </c>
      <c r="E119" s="0" t="s">
        <v>3273</v>
      </c>
      <c r="F119" s="0" t="s">
        <v>2990</v>
      </c>
      <c r="G119" s="0" t="s">
        <v>3280</v>
      </c>
    </row>
    <row customHeight="1" ht="11.25">
      <c r="A120" s="373" t="s">
        <v>16</v>
      </c>
      <c r="B120" s="0" t="s">
        <v>3272</v>
      </c>
      <c r="C120" s="0" t="s">
        <v>3273</v>
      </c>
      <c r="D120" s="0" t="s">
        <v>3281</v>
      </c>
      <c r="E120" s="0" t="s">
        <v>3282</v>
      </c>
      <c r="F120" s="0" t="s">
        <v>2989</v>
      </c>
      <c r="G120" s="0" t="s">
        <v>3283</v>
      </c>
    </row>
    <row customHeight="1" ht="11.25">
      <c r="A121" s="373" t="s">
        <v>16</v>
      </c>
      <c r="B121" s="0" t="s">
        <v>3272</v>
      </c>
      <c r="C121" s="0" t="s">
        <v>3273</v>
      </c>
      <c r="D121" s="0" t="s">
        <v>3023</v>
      </c>
      <c r="E121" s="0" t="s">
        <v>3284</v>
      </c>
      <c r="F121" s="0" t="s">
        <v>2989</v>
      </c>
      <c r="G121" s="0" t="s">
        <v>3285</v>
      </c>
    </row>
    <row customHeight="1" ht="11.25">
      <c r="A122" s="373" t="s">
        <v>16</v>
      </c>
      <c r="B122" s="0" t="s">
        <v>3272</v>
      </c>
      <c r="C122" s="0" t="s">
        <v>3273</v>
      </c>
      <c r="D122" s="0" t="s">
        <v>3286</v>
      </c>
      <c r="E122" s="0" t="s">
        <v>3287</v>
      </c>
      <c r="F122" s="0" t="s">
        <v>2989</v>
      </c>
      <c r="G122" s="0" t="s">
        <v>3288</v>
      </c>
    </row>
    <row customHeight="1" ht="11.25">
      <c r="A123" s="373" t="s">
        <v>16</v>
      </c>
      <c r="B123" s="0" t="s">
        <v>3272</v>
      </c>
      <c r="C123" s="0" t="s">
        <v>3273</v>
      </c>
      <c r="D123" s="0" t="s">
        <v>3289</v>
      </c>
      <c r="E123" s="0" t="s">
        <v>3290</v>
      </c>
      <c r="F123" s="0" t="s">
        <v>2989</v>
      </c>
      <c r="G123" s="0" t="s">
        <v>3291</v>
      </c>
    </row>
    <row customHeight="1" ht="11.25">
      <c r="A124" s="373" t="s">
        <v>16</v>
      </c>
      <c r="B124" s="0" t="s">
        <v>3272</v>
      </c>
      <c r="C124" s="0" t="s">
        <v>3273</v>
      </c>
      <c r="D124" s="0" t="s">
        <v>3292</v>
      </c>
      <c r="E124" s="0" t="s">
        <v>3293</v>
      </c>
      <c r="F124" s="0" t="s">
        <v>2989</v>
      </c>
      <c r="G124" s="0" t="s">
        <v>3294</v>
      </c>
    </row>
    <row customHeight="1" ht="11.25">
      <c r="A125" s="373" t="s">
        <v>16</v>
      </c>
      <c r="B125" s="0" t="s">
        <v>3272</v>
      </c>
      <c r="C125" s="0" t="s">
        <v>3273</v>
      </c>
      <c r="D125" s="0" t="s">
        <v>3295</v>
      </c>
      <c r="E125" s="0" t="s">
        <v>3296</v>
      </c>
      <c r="F125" s="0" t="s">
        <v>2989</v>
      </c>
      <c r="G125" s="0" t="s">
        <v>3297</v>
      </c>
    </row>
    <row customHeight="1" ht="11.25">
      <c r="A126" s="373" t="s">
        <v>16</v>
      </c>
      <c r="B126" s="0" t="s">
        <v>3272</v>
      </c>
      <c r="C126" s="0" t="s">
        <v>3273</v>
      </c>
      <c r="D126" s="0" t="s">
        <v>3298</v>
      </c>
      <c r="E126" s="0" t="s">
        <v>3299</v>
      </c>
      <c r="F126" s="0" t="s">
        <v>2989</v>
      </c>
      <c r="G126" s="0" t="s">
        <v>3300</v>
      </c>
    </row>
    <row customHeight="1" ht="11.25">
      <c r="A127" s="373" t="s">
        <v>16</v>
      </c>
      <c r="B127" s="0" t="s">
        <v>3272</v>
      </c>
      <c r="C127" s="0" t="s">
        <v>3273</v>
      </c>
      <c r="D127" s="0" t="s">
        <v>3301</v>
      </c>
      <c r="E127" s="0" t="s">
        <v>3302</v>
      </c>
      <c r="F127" s="0" t="s">
        <v>3059</v>
      </c>
      <c r="G127" s="0" t="s">
        <v>3303</v>
      </c>
    </row>
    <row customHeight="1" ht="11.25">
      <c r="A128" s="373" t="s">
        <v>16</v>
      </c>
      <c r="B128" s="0" t="s">
        <v>3304</v>
      </c>
      <c r="C128" s="0" t="s">
        <v>3305</v>
      </c>
      <c r="D128" s="0" t="s">
        <v>3306</v>
      </c>
      <c r="E128" s="0" t="s">
        <v>3307</v>
      </c>
      <c r="F128" s="0" t="s">
        <v>2989</v>
      </c>
      <c r="G128" s="0" t="s">
        <v>3308</v>
      </c>
    </row>
    <row customHeight="1" ht="11.25">
      <c r="A129" s="373" t="s">
        <v>16</v>
      </c>
      <c r="B129" s="0" t="s">
        <v>3304</v>
      </c>
      <c r="C129" s="0" t="s">
        <v>3305</v>
      </c>
      <c r="D129" s="0" t="s">
        <v>3309</v>
      </c>
      <c r="E129" s="0" t="s">
        <v>3310</v>
      </c>
      <c r="F129" s="0" t="s">
        <v>2989</v>
      </c>
      <c r="G129" s="0" t="s">
        <v>3311</v>
      </c>
    </row>
    <row customHeight="1" ht="11.25">
      <c r="A130" s="373" t="s">
        <v>16</v>
      </c>
      <c r="B130" s="0" t="s">
        <v>3304</v>
      </c>
      <c r="C130" s="0" t="s">
        <v>3305</v>
      </c>
      <c r="D130" s="0" t="s">
        <v>3312</v>
      </c>
      <c r="E130" s="0" t="s">
        <v>3313</v>
      </c>
      <c r="F130" s="0" t="s">
        <v>2989</v>
      </c>
      <c r="G130" s="0" t="s">
        <v>3314</v>
      </c>
    </row>
    <row customHeight="1" ht="11.25">
      <c r="A131" s="373" t="s">
        <v>16</v>
      </c>
      <c r="B131" s="0" t="s">
        <v>3304</v>
      </c>
      <c r="C131" s="0" t="s">
        <v>3305</v>
      </c>
      <c r="D131" s="0" t="s">
        <v>3315</v>
      </c>
      <c r="E131" s="0" t="s">
        <v>3316</v>
      </c>
      <c r="F131" s="0" t="s">
        <v>2989</v>
      </c>
      <c r="G131" s="0" t="s">
        <v>3317</v>
      </c>
    </row>
    <row customHeight="1" ht="11.25">
      <c r="A132" s="373" t="s">
        <v>16</v>
      </c>
      <c r="B132" s="0" t="s">
        <v>3304</v>
      </c>
      <c r="C132" s="0" t="s">
        <v>3305</v>
      </c>
      <c r="D132" s="0" t="s">
        <v>3318</v>
      </c>
      <c r="E132" s="0" t="s">
        <v>3319</v>
      </c>
      <c r="F132" s="0" t="s">
        <v>2989</v>
      </c>
      <c r="G132" s="0" t="s">
        <v>3320</v>
      </c>
    </row>
    <row customHeight="1" ht="11.25">
      <c r="A133" s="373" t="s">
        <v>16</v>
      </c>
      <c r="B133" s="0" t="s">
        <v>3304</v>
      </c>
      <c r="C133" s="0" t="s">
        <v>3305</v>
      </c>
      <c r="D133" s="0" t="s">
        <v>3321</v>
      </c>
      <c r="E133" s="0" t="s">
        <v>3322</v>
      </c>
      <c r="F133" s="0" t="s">
        <v>2989</v>
      </c>
      <c r="G133" s="0" t="s">
        <v>3323</v>
      </c>
    </row>
    <row customHeight="1" ht="11.25">
      <c r="A134" s="373" t="s">
        <v>16</v>
      </c>
      <c r="B134" s="0" t="s">
        <v>3304</v>
      </c>
      <c r="C134" s="0" t="s">
        <v>3305</v>
      </c>
      <c r="D134" s="0" t="s">
        <v>3304</v>
      </c>
      <c r="E134" s="0" t="s">
        <v>3305</v>
      </c>
      <c r="F134" s="0" t="s">
        <v>2990</v>
      </c>
      <c r="G134" s="0" t="s">
        <v>3324</v>
      </c>
    </row>
    <row customHeight="1" ht="11.25">
      <c r="A135" s="373" t="s">
        <v>16</v>
      </c>
      <c r="B135" s="0" t="s">
        <v>3304</v>
      </c>
      <c r="C135" s="0" t="s">
        <v>3305</v>
      </c>
      <c r="D135" s="0" t="s">
        <v>3325</v>
      </c>
      <c r="E135" s="0" t="s">
        <v>3326</v>
      </c>
      <c r="F135" s="0" t="s">
        <v>2989</v>
      </c>
      <c r="G135" s="0" t="s">
        <v>3327</v>
      </c>
    </row>
    <row customHeight="1" ht="11.25">
      <c r="A136" s="373" t="s">
        <v>16</v>
      </c>
      <c r="B136" s="0" t="s">
        <v>3304</v>
      </c>
      <c r="C136" s="0" t="s">
        <v>3305</v>
      </c>
      <c r="D136" s="0" t="s">
        <v>3328</v>
      </c>
      <c r="E136" s="0" t="s">
        <v>3329</v>
      </c>
      <c r="F136" s="0" t="s">
        <v>2989</v>
      </c>
      <c r="G136" s="0" t="s">
        <v>3330</v>
      </c>
    </row>
    <row customHeight="1" ht="11.25">
      <c r="A137" s="373" t="s">
        <v>16</v>
      </c>
      <c r="B137" s="0" t="s">
        <v>3304</v>
      </c>
      <c r="C137" s="0" t="s">
        <v>3305</v>
      </c>
      <c r="D137" s="0" t="s">
        <v>3331</v>
      </c>
      <c r="E137" s="0" t="s">
        <v>3332</v>
      </c>
      <c r="F137" s="0" t="s">
        <v>2989</v>
      </c>
      <c r="G137" s="0" t="s">
        <v>3333</v>
      </c>
    </row>
    <row customHeight="1" ht="11.25">
      <c r="A138" s="373" t="s">
        <v>16</v>
      </c>
      <c r="B138" s="0" t="s">
        <v>3304</v>
      </c>
      <c r="C138" s="0" t="s">
        <v>3305</v>
      </c>
      <c r="D138" s="0" t="s">
        <v>3334</v>
      </c>
      <c r="E138" s="0" t="s">
        <v>3335</v>
      </c>
      <c r="F138" s="0" t="s">
        <v>2989</v>
      </c>
      <c r="G138" s="0" t="s">
        <v>3336</v>
      </c>
    </row>
    <row customHeight="1" ht="11.25">
      <c r="A139" s="373" t="s">
        <v>16</v>
      </c>
      <c r="B139" s="0" t="s">
        <v>3304</v>
      </c>
      <c r="C139" s="0" t="s">
        <v>3305</v>
      </c>
      <c r="D139" s="0" t="s">
        <v>3337</v>
      </c>
      <c r="E139" s="0" t="s">
        <v>3338</v>
      </c>
      <c r="F139" s="0" t="s">
        <v>2989</v>
      </c>
      <c r="G139" s="0" t="s">
        <v>3339</v>
      </c>
    </row>
    <row customHeight="1" ht="11.25">
      <c r="A140" s="373" t="s">
        <v>16</v>
      </c>
      <c r="B140" s="0" t="s">
        <v>3304</v>
      </c>
      <c r="C140" s="0" t="s">
        <v>3305</v>
      </c>
      <c r="D140" s="0" t="s">
        <v>3340</v>
      </c>
      <c r="E140" s="0" t="s">
        <v>3341</v>
      </c>
      <c r="F140" s="0" t="s">
        <v>2989</v>
      </c>
      <c r="G140" s="0" t="s">
        <v>3342</v>
      </c>
    </row>
    <row customHeight="1" ht="11.25">
      <c r="A141" s="373" t="s">
        <v>16</v>
      </c>
      <c r="B141" s="0" t="s">
        <v>3304</v>
      </c>
      <c r="C141" s="0" t="s">
        <v>3305</v>
      </c>
      <c r="D141" s="0" t="s">
        <v>3343</v>
      </c>
      <c r="E141" s="0" t="s">
        <v>3344</v>
      </c>
      <c r="F141" s="0" t="s">
        <v>2989</v>
      </c>
      <c r="G141" s="0" t="s">
        <v>3345</v>
      </c>
    </row>
    <row customHeight="1" ht="11.25">
      <c r="A142" s="373" t="s">
        <v>16</v>
      </c>
      <c r="B142" s="0" t="s">
        <v>3304</v>
      </c>
      <c r="C142" s="0" t="s">
        <v>3305</v>
      </c>
      <c r="D142" s="0" t="s">
        <v>3346</v>
      </c>
      <c r="E142" s="0" t="s">
        <v>3347</v>
      </c>
      <c r="F142" s="0" t="s">
        <v>2989</v>
      </c>
      <c r="G142" s="0" t="s">
        <v>3348</v>
      </c>
    </row>
    <row customHeight="1" ht="11.25">
      <c r="A143" s="373" t="s">
        <v>16</v>
      </c>
      <c r="B143" s="0" t="s">
        <v>3304</v>
      </c>
      <c r="C143" s="0" t="s">
        <v>3305</v>
      </c>
      <c r="D143" s="0" t="s">
        <v>3144</v>
      </c>
      <c r="E143" s="0" t="s">
        <v>3349</v>
      </c>
      <c r="F143" s="0" t="s">
        <v>2989</v>
      </c>
      <c r="G143" s="0" t="s">
        <v>3350</v>
      </c>
    </row>
    <row customHeight="1" ht="11.25">
      <c r="A144" s="373" t="s">
        <v>16</v>
      </c>
      <c r="B144" s="0" t="s">
        <v>3304</v>
      </c>
      <c r="C144" s="0" t="s">
        <v>3305</v>
      </c>
      <c r="D144" s="0" t="s">
        <v>3351</v>
      </c>
      <c r="E144" s="0" t="s">
        <v>3352</v>
      </c>
      <c r="F144" s="0" t="s">
        <v>2989</v>
      </c>
      <c r="G144" s="0" t="s">
        <v>3353</v>
      </c>
    </row>
    <row customHeight="1" ht="11.25">
      <c r="A145" s="373" t="s">
        <v>16</v>
      </c>
      <c r="B145" s="0" t="s">
        <v>3304</v>
      </c>
      <c r="C145" s="0" t="s">
        <v>3305</v>
      </c>
      <c r="D145" s="0" t="s">
        <v>3354</v>
      </c>
      <c r="E145" s="0" t="s">
        <v>3355</v>
      </c>
      <c r="F145" s="0" t="s">
        <v>2989</v>
      </c>
      <c r="G145" s="0" t="s">
        <v>3356</v>
      </c>
    </row>
    <row customHeight="1" ht="11.25">
      <c r="A146" s="373" t="s">
        <v>16</v>
      </c>
      <c r="B146" s="0" t="s">
        <v>3357</v>
      </c>
      <c r="C146" s="0" t="s">
        <v>3358</v>
      </c>
      <c r="D146" s="0" t="s">
        <v>3359</v>
      </c>
      <c r="E146" s="0" t="s">
        <v>3360</v>
      </c>
      <c r="F146" s="0" t="s">
        <v>2989</v>
      </c>
      <c r="G146" s="0" t="s">
        <v>3361</v>
      </c>
    </row>
    <row customHeight="1" ht="11.25">
      <c r="A147" s="373" t="s">
        <v>16</v>
      </c>
      <c r="B147" s="0" t="s">
        <v>3357</v>
      </c>
      <c r="C147" s="0" t="s">
        <v>3358</v>
      </c>
      <c r="D147" s="0" t="s">
        <v>3362</v>
      </c>
      <c r="E147" s="0" t="s">
        <v>3363</v>
      </c>
      <c r="F147" s="0" t="s">
        <v>2989</v>
      </c>
      <c r="G147" s="0" t="s">
        <v>3364</v>
      </c>
    </row>
    <row customHeight="1" ht="11.25">
      <c r="A148" s="373" t="s">
        <v>16</v>
      </c>
      <c r="B148" s="0" t="s">
        <v>3357</v>
      </c>
      <c r="C148" s="0" t="s">
        <v>3358</v>
      </c>
      <c r="D148" s="0" t="s">
        <v>3365</v>
      </c>
      <c r="E148" s="0" t="s">
        <v>3366</v>
      </c>
      <c r="F148" s="0" t="s">
        <v>2989</v>
      </c>
      <c r="G148" s="0" t="s">
        <v>3367</v>
      </c>
    </row>
    <row customHeight="1" ht="11.25">
      <c r="A149" s="373" t="s">
        <v>16</v>
      </c>
      <c r="B149" s="0" t="s">
        <v>3357</v>
      </c>
      <c r="C149" s="0" t="s">
        <v>3358</v>
      </c>
      <c r="D149" s="0" t="s">
        <v>3368</v>
      </c>
      <c r="E149" s="0" t="s">
        <v>3369</v>
      </c>
      <c r="F149" s="0" t="s">
        <v>2989</v>
      </c>
      <c r="G149" s="0" t="s">
        <v>3370</v>
      </c>
    </row>
    <row customHeight="1" ht="11.25">
      <c r="A150" s="373" t="s">
        <v>16</v>
      </c>
      <c r="B150" s="0" t="s">
        <v>3357</v>
      </c>
      <c r="C150" s="0" t="s">
        <v>3358</v>
      </c>
      <c r="D150" s="0" t="s">
        <v>3357</v>
      </c>
      <c r="E150" s="0" t="s">
        <v>3358</v>
      </c>
      <c r="F150" s="0" t="s">
        <v>2990</v>
      </c>
      <c r="G150" s="0" t="s">
        <v>3371</v>
      </c>
    </row>
    <row customHeight="1" ht="11.25">
      <c r="A151" s="373" t="s">
        <v>16</v>
      </c>
      <c r="B151" s="0" t="s">
        <v>3357</v>
      </c>
      <c r="C151" s="0" t="s">
        <v>3358</v>
      </c>
      <c r="D151" s="0" t="s">
        <v>3372</v>
      </c>
      <c r="E151" s="0" t="s">
        <v>3373</v>
      </c>
      <c r="F151" s="0" t="s">
        <v>2989</v>
      </c>
      <c r="G151" s="0" t="s">
        <v>3374</v>
      </c>
    </row>
    <row customHeight="1" ht="11.25">
      <c r="A152" s="373" t="s">
        <v>16</v>
      </c>
      <c r="B152" s="0" t="s">
        <v>3357</v>
      </c>
      <c r="C152" s="0" t="s">
        <v>3358</v>
      </c>
      <c r="D152" s="0" t="s">
        <v>3375</v>
      </c>
      <c r="E152" s="0" t="s">
        <v>3376</v>
      </c>
      <c r="F152" s="0" t="s">
        <v>2989</v>
      </c>
      <c r="G152" s="0" t="s">
        <v>3377</v>
      </c>
    </row>
    <row customHeight="1" ht="11.25">
      <c r="A153" s="373" t="s">
        <v>16</v>
      </c>
      <c r="B153" s="0" t="s">
        <v>3357</v>
      </c>
      <c r="C153" s="0" t="s">
        <v>3358</v>
      </c>
      <c r="D153" s="0" t="s">
        <v>3378</v>
      </c>
      <c r="E153" s="0" t="s">
        <v>3379</v>
      </c>
      <c r="F153" s="0" t="s">
        <v>3059</v>
      </c>
      <c r="G153" s="0" t="s">
        <v>3380</v>
      </c>
    </row>
    <row customHeight="1" ht="11.25">
      <c r="A154" s="373" t="s">
        <v>16</v>
      </c>
      <c r="B154" s="0" t="s">
        <v>3357</v>
      </c>
      <c r="C154" s="0" t="s">
        <v>3358</v>
      </c>
      <c r="D154" s="0" t="s">
        <v>3381</v>
      </c>
      <c r="E154" s="0" t="s">
        <v>3382</v>
      </c>
      <c r="F154" s="0" t="s">
        <v>3059</v>
      </c>
      <c r="G154" s="0" t="s">
        <v>3383</v>
      </c>
    </row>
    <row customHeight="1" ht="11.25">
      <c r="A155" s="373" t="s">
        <v>16</v>
      </c>
      <c r="B155" s="0" t="s">
        <v>3384</v>
      </c>
      <c r="C155" s="0" t="s">
        <v>3385</v>
      </c>
      <c r="D155" s="0" t="s">
        <v>3386</v>
      </c>
      <c r="E155" s="0" t="s">
        <v>3387</v>
      </c>
      <c r="F155" s="0" t="s">
        <v>2989</v>
      </c>
      <c r="G155" s="0" t="s">
        <v>3388</v>
      </c>
    </row>
    <row customHeight="1" ht="11.25">
      <c r="A156" s="373" t="s">
        <v>16</v>
      </c>
      <c r="B156" s="0" t="s">
        <v>3384</v>
      </c>
      <c r="C156" s="0" t="s">
        <v>3385</v>
      </c>
      <c r="D156" s="0" t="s">
        <v>3389</v>
      </c>
      <c r="E156" s="0" t="s">
        <v>3390</v>
      </c>
      <c r="F156" s="0" t="s">
        <v>2989</v>
      </c>
      <c r="G156" s="0" t="s">
        <v>3391</v>
      </c>
    </row>
    <row customHeight="1" ht="11.25">
      <c r="A157" s="373" t="s">
        <v>16</v>
      </c>
      <c r="B157" s="0" t="s">
        <v>3384</v>
      </c>
      <c r="C157" s="0" t="s">
        <v>3385</v>
      </c>
      <c r="D157" s="0" t="s">
        <v>3392</v>
      </c>
      <c r="E157" s="0" t="s">
        <v>3393</v>
      </c>
      <c r="F157" s="0" t="s">
        <v>2989</v>
      </c>
      <c r="G157" s="0" t="s">
        <v>3394</v>
      </c>
    </row>
    <row customHeight="1" ht="11.25">
      <c r="A158" s="373" t="s">
        <v>16</v>
      </c>
      <c r="B158" s="0" t="s">
        <v>3384</v>
      </c>
      <c r="C158" s="0" t="s">
        <v>3385</v>
      </c>
      <c r="D158" s="0" t="s">
        <v>3395</v>
      </c>
      <c r="E158" s="0" t="s">
        <v>3396</v>
      </c>
      <c r="F158" s="0" t="s">
        <v>2989</v>
      </c>
      <c r="G158" s="0" t="s">
        <v>3397</v>
      </c>
    </row>
    <row customHeight="1" ht="11.25">
      <c r="A159" s="373" t="s">
        <v>16</v>
      </c>
      <c r="B159" s="0" t="s">
        <v>3384</v>
      </c>
      <c r="C159" s="0" t="s">
        <v>3385</v>
      </c>
      <c r="D159" s="0" t="s">
        <v>3398</v>
      </c>
      <c r="E159" s="0" t="s">
        <v>3399</v>
      </c>
      <c r="F159" s="0" t="s">
        <v>2989</v>
      </c>
      <c r="G159" s="0" t="s">
        <v>3400</v>
      </c>
    </row>
    <row customHeight="1" ht="11.25">
      <c r="A160" s="373" t="s">
        <v>16</v>
      </c>
      <c r="B160" s="0" t="s">
        <v>3384</v>
      </c>
      <c r="C160" s="0" t="s">
        <v>3385</v>
      </c>
      <c r="D160" s="0" t="s">
        <v>3401</v>
      </c>
      <c r="E160" s="0" t="s">
        <v>3402</v>
      </c>
      <c r="F160" s="0" t="s">
        <v>2989</v>
      </c>
      <c r="G160" s="0" t="s">
        <v>3403</v>
      </c>
    </row>
    <row customHeight="1" ht="11.25">
      <c r="A161" s="373" t="s">
        <v>16</v>
      </c>
      <c r="B161" s="0" t="s">
        <v>3384</v>
      </c>
      <c r="C161" s="0" t="s">
        <v>3385</v>
      </c>
      <c r="D161" s="0" t="s">
        <v>3384</v>
      </c>
      <c r="E161" s="0" t="s">
        <v>3385</v>
      </c>
      <c r="F161" s="0" t="s">
        <v>2990</v>
      </c>
      <c r="G161" s="0" t="s">
        <v>3404</v>
      </c>
    </row>
    <row customHeight="1" ht="11.25">
      <c r="A162" s="373" t="s">
        <v>16</v>
      </c>
      <c r="B162" s="0" t="s">
        <v>3384</v>
      </c>
      <c r="C162" s="0" t="s">
        <v>3385</v>
      </c>
      <c r="D162" s="0" t="s">
        <v>3405</v>
      </c>
      <c r="E162" s="0" t="s">
        <v>3406</v>
      </c>
      <c r="F162" s="0" t="s">
        <v>2989</v>
      </c>
      <c r="G162" s="0" t="s">
        <v>3407</v>
      </c>
    </row>
    <row customHeight="1" ht="11.25">
      <c r="A163" s="373" t="s">
        <v>16</v>
      </c>
      <c r="B163" s="0" t="s">
        <v>3384</v>
      </c>
      <c r="C163" s="0" t="s">
        <v>3385</v>
      </c>
      <c r="D163" s="0" t="s">
        <v>3408</v>
      </c>
      <c r="E163" s="0" t="s">
        <v>3409</v>
      </c>
      <c r="F163" s="0" t="s">
        <v>2989</v>
      </c>
      <c r="G163" s="0" t="s">
        <v>3410</v>
      </c>
    </row>
    <row customHeight="1" ht="11.25">
      <c r="A164" s="373" t="s">
        <v>16</v>
      </c>
      <c r="B164" s="0" t="s">
        <v>3411</v>
      </c>
      <c r="C164" s="0" t="s">
        <v>3412</v>
      </c>
      <c r="D164" s="0" t="s">
        <v>3413</v>
      </c>
      <c r="E164" s="0" t="s">
        <v>3414</v>
      </c>
      <c r="F164" s="0" t="s">
        <v>2989</v>
      </c>
      <c r="G164" s="0" t="s">
        <v>3415</v>
      </c>
    </row>
    <row customHeight="1" ht="11.25">
      <c r="A165" s="373" t="s">
        <v>16</v>
      </c>
      <c r="B165" s="0" t="s">
        <v>3411</v>
      </c>
      <c r="C165" s="0" t="s">
        <v>3412</v>
      </c>
      <c r="D165" s="0" t="s">
        <v>3416</v>
      </c>
      <c r="E165" s="0" t="s">
        <v>3417</v>
      </c>
      <c r="F165" s="0" t="s">
        <v>2989</v>
      </c>
      <c r="G165" s="0" t="s">
        <v>3418</v>
      </c>
    </row>
    <row customHeight="1" ht="11.25">
      <c r="A166" s="373" t="s">
        <v>16</v>
      </c>
      <c r="B166" s="0" t="s">
        <v>3411</v>
      </c>
      <c r="C166" s="0" t="s">
        <v>3412</v>
      </c>
      <c r="D166" s="0" t="s">
        <v>3411</v>
      </c>
      <c r="E166" s="0" t="s">
        <v>3412</v>
      </c>
      <c r="F166" s="0" t="s">
        <v>2990</v>
      </c>
      <c r="G166" s="0" t="s">
        <v>3419</v>
      </c>
    </row>
    <row customHeight="1" ht="11.25">
      <c r="A167" s="373" t="s">
        <v>16</v>
      </c>
      <c r="B167" s="0" t="s">
        <v>3411</v>
      </c>
      <c r="C167" s="0" t="s">
        <v>3412</v>
      </c>
      <c r="D167" s="0" t="s">
        <v>3420</v>
      </c>
      <c r="E167" s="0" t="s">
        <v>3421</v>
      </c>
      <c r="F167" s="0" t="s">
        <v>2989</v>
      </c>
      <c r="G167" s="0" t="s">
        <v>3422</v>
      </c>
    </row>
    <row customHeight="1" ht="11.25">
      <c r="A168" s="373" t="s">
        <v>16</v>
      </c>
      <c r="B168" s="0" t="s">
        <v>3411</v>
      </c>
      <c r="C168" s="0" t="s">
        <v>3412</v>
      </c>
      <c r="D168" s="0" t="s">
        <v>3423</v>
      </c>
      <c r="E168" s="0" t="s">
        <v>3424</v>
      </c>
      <c r="F168" s="0" t="s">
        <v>2989</v>
      </c>
      <c r="G168" s="0" t="s">
        <v>3425</v>
      </c>
    </row>
    <row customHeight="1" ht="11.25">
      <c r="A169" s="373" t="s">
        <v>16</v>
      </c>
      <c r="B169" s="0" t="s">
        <v>3411</v>
      </c>
      <c r="C169" s="0" t="s">
        <v>3412</v>
      </c>
      <c r="D169" s="0" t="s">
        <v>3426</v>
      </c>
      <c r="E169" s="0" t="s">
        <v>3427</v>
      </c>
      <c r="F169" s="0" t="s">
        <v>2989</v>
      </c>
      <c r="G169" s="0" t="s">
        <v>3428</v>
      </c>
    </row>
    <row customHeight="1" ht="11.25">
      <c r="A170" s="373" t="s">
        <v>16</v>
      </c>
      <c r="B170" s="0" t="s">
        <v>3411</v>
      </c>
      <c r="C170" s="0" t="s">
        <v>3412</v>
      </c>
      <c r="D170" s="0" t="s">
        <v>3429</v>
      </c>
      <c r="E170" s="0" t="s">
        <v>3430</v>
      </c>
      <c r="F170" s="0" t="s">
        <v>2989</v>
      </c>
      <c r="G170" s="0" t="s">
        <v>3431</v>
      </c>
    </row>
    <row customHeight="1" ht="11.25">
      <c r="A171" s="373" t="s">
        <v>16</v>
      </c>
      <c r="B171" s="0" t="s">
        <v>3411</v>
      </c>
      <c r="C171" s="0" t="s">
        <v>3412</v>
      </c>
      <c r="D171" s="0" t="s">
        <v>3432</v>
      </c>
      <c r="E171" s="0" t="s">
        <v>3433</v>
      </c>
      <c r="F171" s="0" t="s">
        <v>2989</v>
      </c>
      <c r="G171" s="0" t="s">
        <v>3434</v>
      </c>
    </row>
    <row customHeight="1" ht="11.25">
      <c r="A172" s="373" t="s">
        <v>16</v>
      </c>
      <c r="B172" s="0" t="s">
        <v>3435</v>
      </c>
      <c r="C172" s="0" t="s">
        <v>3436</v>
      </c>
      <c r="D172" s="0" t="s">
        <v>3437</v>
      </c>
      <c r="E172" s="0" t="s">
        <v>3438</v>
      </c>
      <c r="F172" s="0" t="s">
        <v>2989</v>
      </c>
      <c r="G172" s="0" t="s">
        <v>3439</v>
      </c>
    </row>
    <row customHeight="1" ht="11.25">
      <c r="A173" s="373" t="s">
        <v>16</v>
      </c>
      <c r="B173" s="0" t="s">
        <v>3435</v>
      </c>
      <c r="C173" s="0" t="s">
        <v>3436</v>
      </c>
      <c r="D173" s="0" t="s">
        <v>3440</v>
      </c>
      <c r="E173" s="0" t="s">
        <v>3441</v>
      </c>
      <c r="F173" s="0" t="s">
        <v>2989</v>
      </c>
      <c r="G173" s="0" t="s">
        <v>3442</v>
      </c>
    </row>
    <row customHeight="1" ht="11.25">
      <c r="A174" s="373" t="s">
        <v>16</v>
      </c>
      <c r="B174" s="0" t="s">
        <v>3435</v>
      </c>
      <c r="C174" s="0" t="s">
        <v>3436</v>
      </c>
      <c r="D174" s="0" t="s">
        <v>3443</v>
      </c>
      <c r="E174" s="0" t="s">
        <v>3444</v>
      </c>
      <c r="F174" s="0" t="s">
        <v>2989</v>
      </c>
      <c r="G174" s="0" t="s">
        <v>3445</v>
      </c>
    </row>
    <row customHeight="1" ht="11.25">
      <c r="A175" s="373" t="s">
        <v>16</v>
      </c>
      <c r="B175" s="0" t="s">
        <v>3435</v>
      </c>
      <c r="C175" s="0" t="s">
        <v>3436</v>
      </c>
      <c r="D175" s="0" t="s">
        <v>3446</v>
      </c>
      <c r="E175" s="0" t="s">
        <v>3447</v>
      </c>
      <c r="F175" s="0" t="s">
        <v>2989</v>
      </c>
      <c r="G175" s="0" t="s">
        <v>3448</v>
      </c>
    </row>
    <row customHeight="1" ht="11.25">
      <c r="A176" s="373" t="s">
        <v>16</v>
      </c>
      <c r="B176" s="0" t="s">
        <v>3435</v>
      </c>
      <c r="C176" s="0" t="s">
        <v>3436</v>
      </c>
      <c r="D176" s="0" t="s">
        <v>3449</v>
      </c>
      <c r="E176" s="0" t="s">
        <v>3450</v>
      </c>
      <c r="F176" s="0" t="s">
        <v>2989</v>
      </c>
      <c r="G176" s="0" t="s">
        <v>3451</v>
      </c>
    </row>
    <row customHeight="1" ht="11.25">
      <c r="A177" s="373" t="s">
        <v>16</v>
      </c>
      <c r="B177" s="0" t="s">
        <v>3435</v>
      </c>
      <c r="C177" s="0" t="s">
        <v>3436</v>
      </c>
      <c r="D177" s="0" t="s">
        <v>3435</v>
      </c>
      <c r="E177" s="0" t="s">
        <v>3436</v>
      </c>
      <c r="F177" s="0" t="s">
        <v>2990</v>
      </c>
      <c r="G177" s="0" t="s">
        <v>3452</v>
      </c>
    </row>
    <row customHeight="1" ht="11.25">
      <c r="A178" s="373" t="s">
        <v>16</v>
      </c>
      <c r="B178" s="0" t="s">
        <v>3435</v>
      </c>
      <c r="C178" s="0" t="s">
        <v>3436</v>
      </c>
      <c r="D178" s="0" t="s">
        <v>3453</v>
      </c>
      <c r="E178" s="0" t="s">
        <v>3454</v>
      </c>
      <c r="F178" s="0" t="s">
        <v>2989</v>
      </c>
      <c r="G178" s="0" t="s">
        <v>3455</v>
      </c>
    </row>
    <row customHeight="1" ht="11.25">
      <c r="A179" s="373" t="s">
        <v>16</v>
      </c>
      <c r="B179" s="0" t="s">
        <v>3435</v>
      </c>
      <c r="C179" s="0" t="s">
        <v>3436</v>
      </c>
      <c r="D179" s="0" t="s">
        <v>3456</v>
      </c>
      <c r="E179" s="0" t="s">
        <v>3457</v>
      </c>
      <c r="F179" s="0" t="s">
        <v>2989</v>
      </c>
      <c r="G179" s="0" t="s">
        <v>3458</v>
      </c>
    </row>
    <row customHeight="1" ht="11.25">
      <c r="A180" s="373" t="s">
        <v>16</v>
      </c>
      <c r="B180" s="0" t="s">
        <v>3435</v>
      </c>
      <c r="C180" s="0" t="s">
        <v>3436</v>
      </c>
      <c r="D180" s="0" t="s">
        <v>3459</v>
      </c>
      <c r="E180" s="0" t="s">
        <v>3460</v>
      </c>
      <c r="F180" s="0" t="s">
        <v>2989</v>
      </c>
      <c r="G180" s="0" t="s">
        <v>3461</v>
      </c>
    </row>
    <row customHeight="1" ht="11.25">
      <c r="A181" s="373" t="s">
        <v>16</v>
      </c>
      <c r="B181" s="0" t="s">
        <v>3435</v>
      </c>
      <c r="C181" s="0" t="s">
        <v>3436</v>
      </c>
      <c r="D181" s="0" t="s">
        <v>3462</v>
      </c>
      <c r="E181" s="0" t="s">
        <v>3463</v>
      </c>
      <c r="F181" s="0" t="s">
        <v>2989</v>
      </c>
      <c r="G181" s="0" t="s">
        <v>3464</v>
      </c>
    </row>
    <row customHeight="1" ht="11.25">
      <c r="A182" s="373" t="s">
        <v>16</v>
      </c>
      <c r="B182" s="0" t="s">
        <v>3435</v>
      </c>
      <c r="C182" s="0" t="s">
        <v>3436</v>
      </c>
      <c r="D182" s="0" t="s">
        <v>3465</v>
      </c>
      <c r="E182" s="0" t="s">
        <v>3466</v>
      </c>
      <c r="F182" s="0" t="s">
        <v>3059</v>
      </c>
      <c r="G182" s="0" t="s">
        <v>3467</v>
      </c>
    </row>
    <row customHeight="1" ht="11.25">
      <c r="A183" s="373" t="s">
        <v>16</v>
      </c>
      <c r="B183" s="0" t="s">
        <v>3468</v>
      </c>
      <c r="C183" s="0" t="s">
        <v>3469</v>
      </c>
      <c r="D183" s="0" t="s">
        <v>3470</v>
      </c>
      <c r="E183" s="0" t="s">
        <v>3471</v>
      </c>
      <c r="F183" s="0" t="s">
        <v>2989</v>
      </c>
      <c r="G183" s="0" t="s">
        <v>3472</v>
      </c>
    </row>
    <row customHeight="1" ht="11.25">
      <c r="A184" s="373" t="s">
        <v>16</v>
      </c>
      <c r="B184" s="0" t="s">
        <v>3468</v>
      </c>
      <c r="C184" s="0" t="s">
        <v>3469</v>
      </c>
      <c r="D184" s="0" t="s">
        <v>3473</v>
      </c>
      <c r="E184" s="0" t="s">
        <v>3474</v>
      </c>
      <c r="F184" s="0" t="s">
        <v>2989</v>
      </c>
      <c r="G184" s="0" t="s">
        <v>3475</v>
      </c>
    </row>
    <row customHeight="1" ht="11.25">
      <c r="A185" s="373" t="s">
        <v>16</v>
      </c>
      <c r="B185" s="0" t="s">
        <v>3468</v>
      </c>
      <c r="C185" s="0" t="s">
        <v>3469</v>
      </c>
      <c r="D185" s="0" t="s">
        <v>3476</v>
      </c>
      <c r="E185" s="0" t="s">
        <v>3477</v>
      </c>
      <c r="F185" s="0" t="s">
        <v>2989</v>
      </c>
      <c r="G185" s="0" t="s">
        <v>3478</v>
      </c>
    </row>
    <row customHeight="1" ht="11.25">
      <c r="A186" s="373" t="s">
        <v>16</v>
      </c>
      <c r="B186" s="0" t="s">
        <v>3468</v>
      </c>
      <c r="C186" s="0" t="s">
        <v>3469</v>
      </c>
      <c r="D186" s="0" t="s">
        <v>3479</v>
      </c>
      <c r="E186" s="0" t="s">
        <v>3480</v>
      </c>
      <c r="F186" s="0" t="s">
        <v>2989</v>
      </c>
      <c r="G186" s="0" t="s">
        <v>3481</v>
      </c>
    </row>
    <row customHeight="1" ht="11.25">
      <c r="A187" s="373" t="s">
        <v>16</v>
      </c>
      <c r="B187" s="0" t="s">
        <v>3468</v>
      </c>
      <c r="C187" s="0" t="s">
        <v>3469</v>
      </c>
      <c r="D187" s="0" t="s">
        <v>3482</v>
      </c>
      <c r="E187" s="0" t="s">
        <v>3483</v>
      </c>
      <c r="F187" s="0" t="s">
        <v>2989</v>
      </c>
      <c r="G187" s="0" t="s">
        <v>3484</v>
      </c>
    </row>
    <row customHeight="1" ht="11.25">
      <c r="A188" s="373" t="s">
        <v>16</v>
      </c>
      <c r="B188" s="0" t="s">
        <v>3468</v>
      </c>
      <c r="C188" s="0" t="s">
        <v>3469</v>
      </c>
      <c r="D188" s="0" t="s">
        <v>3485</v>
      </c>
      <c r="E188" s="0" t="s">
        <v>3486</v>
      </c>
      <c r="F188" s="0" t="s">
        <v>2989</v>
      </c>
      <c r="G188" s="0" t="s">
        <v>3487</v>
      </c>
    </row>
    <row customHeight="1" ht="11.25">
      <c r="A189" s="373" t="s">
        <v>16</v>
      </c>
      <c r="B189" s="0" t="s">
        <v>3468</v>
      </c>
      <c r="C189" s="0" t="s">
        <v>3469</v>
      </c>
      <c r="D189" s="0" t="s">
        <v>3488</v>
      </c>
      <c r="E189" s="0" t="s">
        <v>3489</v>
      </c>
      <c r="F189" s="0" t="s">
        <v>2989</v>
      </c>
      <c r="G189" s="0" t="s">
        <v>3490</v>
      </c>
    </row>
    <row customHeight="1" ht="11.25">
      <c r="A190" s="373" t="s">
        <v>16</v>
      </c>
      <c r="B190" s="0" t="s">
        <v>3468</v>
      </c>
      <c r="C190" s="0" t="s">
        <v>3469</v>
      </c>
      <c r="D190" s="0" t="s">
        <v>3491</v>
      </c>
      <c r="E190" s="0" t="s">
        <v>3492</v>
      </c>
      <c r="F190" s="0" t="s">
        <v>2989</v>
      </c>
      <c r="G190" s="0" t="s">
        <v>3493</v>
      </c>
    </row>
    <row customHeight="1" ht="11.25">
      <c r="A191" s="373" t="s">
        <v>16</v>
      </c>
      <c r="B191" s="0" t="s">
        <v>3468</v>
      </c>
      <c r="C191" s="0" t="s">
        <v>3469</v>
      </c>
      <c r="D191" s="0" t="s">
        <v>3468</v>
      </c>
      <c r="E191" s="0" t="s">
        <v>3469</v>
      </c>
      <c r="F191" s="0" t="s">
        <v>2990</v>
      </c>
      <c r="G191" s="0" t="s">
        <v>3494</v>
      </c>
    </row>
    <row customHeight="1" ht="11.25">
      <c r="A192" s="373" t="s">
        <v>16</v>
      </c>
      <c r="B192" s="0" t="s">
        <v>3468</v>
      </c>
      <c r="C192" s="0" t="s">
        <v>3469</v>
      </c>
      <c r="D192" s="0" t="s">
        <v>3495</v>
      </c>
      <c r="E192" s="0" t="s">
        <v>3496</v>
      </c>
      <c r="F192" s="0" t="s">
        <v>2989</v>
      </c>
      <c r="G192" s="0" t="s">
        <v>3497</v>
      </c>
    </row>
    <row customHeight="1" ht="11.25">
      <c r="A193" s="373" t="s">
        <v>16</v>
      </c>
      <c r="B193" s="0" t="s">
        <v>3468</v>
      </c>
      <c r="C193" s="0" t="s">
        <v>3469</v>
      </c>
      <c r="D193" s="0" t="s">
        <v>3498</v>
      </c>
      <c r="E193" s="0" t="s">
        <v>3499</v>
      </c>
      <c r="F193" s="0" t="s">
        <v>2989</v>
      </c>
      <c r="G193" s="0" t="s">
        <v>3500</v>
      </c>
    </row>
    <row customHeight="1" ht="11.25">
      <c r="A194" s="373" t="s">
        <v>16</v>
      </c>
      <c r="B194" s="0" t="s">
        <v>3468</v>
      </c>
      <c r="C194" s="0" t="s">
        <v>3469</v>
      </c>
      <c r="D194" s="0" t="s">
        <v>3501</v>
      </c>
      <c r="E194" s="0" t="s">
        <v>3502</v>
      </c>
      <c r="F194" s="0" t="s">
        <v>2989</v>
      </c>
      <c r="G194" s="0" t="s">
        <v>3503</v>
      </c>
    </row>
    <row customHeight="1" ht="11.25">
      <c r="A195" s="373" t="s">
        <v>16</v>
      </c>
      <c r="B195" s="0" t="s">
        <v>3468</v>
      </c>
      <c r="C195" s="0" t="s">
        <v>3469</v>
      </c>
      <c r="D195" s="0" t="s">
        <v>3504</v>
      </c>
      <c r="E195" s="0" t="s">
        <v>3505</v>
      </c>
      <c r="F195" s="0" t="s">
        <v>2989</v>
      </c>
      <c r="G195" s="0" t="s">
        <v>3506</v>
      </c>
    </row>
    <row customHeight="1" ht="11.25">
      <c r="A196" s="373" t="s">
        <v>16</v>
      </c>
      <c r="B196" s="0" t="s">
        <v>3468</v>
      </c>
      <c r="C196" s="0" t="s">
        <v>3469</v>
      </c>
      <c r="D196" s="0" t="s">
        <v>3507</v>
      </c>
      <c r="E196" s="0" t="s">
        <v>3508</v>
      </c>
      <c r="F196" s="0" t="s">
        <v>3114</v>
      </c>
      <c r="G196" s="0" t="s">
        <v>3509</v>
      </c>
    </row>
    <row customHeight="1" ht="11.25">
      <c r="A197" s="373" t="s">
        <v>16</v>
      </c>
      <c r="B197" s="0" t="s">
        <v>3510</v>
      </c>
      <c r="C197" s="0" t="s">
        <v>3511</v>
      </c>
      <c r="D197" s="0" t="s">
        <v>3512</v>
      </c>
      <c r="E197" s="0" t="s">
        <v>3513</v>
      </c>
      <c r="F197" s="0" t="s">
        <v>2989</v>
      </c>
      <c r="G197" s="0" t="s">
        <v>3514</v>
      </c>
    </row>
    <row customHeight="1" ht="11.25">
      <c r="A198" s="373" t="s">
        <v>16</v>
      </c>
      <c r="B198" s="0" t="s">
        <v>3510</v>
      </c>
      <c r="C198" s="0" t="s">
        <v>3511</v>
      </c>
      <c r="D198" s="0" t="s">
        <v>3515</v>
      </c>
      <c r="E198" s="0" t="s">
        <v>3516</v>
      </c>
      <c r="F198" s="0" t="s">
        <v>2989</v>
      </c>
      <c r="G198" s="0" t="s">
        <v>3517</v>
      </c>
    </row>
    <row customHeight="1" ht="11.25">
      <c r="A199" s="373" t="s">
        <v>16</v>
      </c>
      <c r="B199" s="0" t="s">
        <v>3510</v>
      </c>
      <c r="C199" s="0" t="s">
        <v>3511</v>
      </c>
      <c r="D199" s="0" t="s">
        <v>3518</v>
      </c>
      <c r="E199" s="0" t="s">
        <v>3519</v>
      </c>
      <c r="F199" s="0" t="s">
        <v>2989</v>
      </c>
      <c r="G199" s="0" t="s">
        <v>3520</v>
      </c>
    </row>
    <row customHeight="1" ht="11.25">
      <c r="A200" s="373" t="s">
        <v>16</v>
      </c>
      <c r="B200" s="0" t="s">
        <v>3510</v>
      </c>
      <c r="C200" s="0" t="s">
        <v>3511</v>
      </c>
      <c r="D200" s="0" t="s">
        <v>3521</v>
      </c>
      <c r="E200" s="0" t="s">
        <v>3522</v>
      </c>
      <c r="F200" s="0" t="s">
        <v>2989</v>
      </c>
      <c r="G200" s="0" t="s">
        <v>3523</v>
      </c>
    </row>
    <row customHeight="1" ht="11.25">
      <c r="A201" s="373" t="s">
        <v>16</v>
      </c>
      <c r="B201" s="0" t="s">
        <v>3510</v>
      </c>
      <c r="C201" s="0" t="s">
        <v>3511</v>
      </c>
      <c r="D201" s="0" t="s">
        <v>3524</v>
      </c>
      <c r="E201" s="0" t="s">
        <v>3525</v>
      </c>
      <c r="F201" s="0" t="s">
        <v>2989</v>
      </c>
      <c r="G201" s="0" t="s">
        <v>3526</v>
      </c>
    </row>
    <row customHeight="1" ht="11.25">
      <c r="A202" s="373" t="s">
        <v>16</v>
      </c>
      <c r="B202" s="0" t="s">
        <v>3510</v>
      </c>
      <c r="C202" s="0" t="s">
        <v>3511</v>
      </c>
      <c r="D202" s="0" t="s">
        <v>3076</v>
      </c>
      <c r="E202" s="0" t="s">
        <v>3527</v>
      </c>
      <c r="F202" s="0" t="s">
        <v>2989</v>
      </c>
      <c r="G202" s="0" t="s">
        <v>3528</v>
      </c>
    </row>
    <row customHeight="1" ht="11.25">
      <c r="A203" s="373" t="s">
        <v>16</v>
      </c>
      <c r="B203" s="0" t="s">
        <v>3510</v>
      </c>
      <c r="C203" s="0" t="s">
        <v>3511</v>
      </c>
      <c r="D203" s="0" t="s">
        <v>3510</v>
      </c>
      <c r="E203" s="0" t="s">
        <v>3511</v>
      </c>
      <c r="F203" s="0" t="s">
        <v>2990</v>
      </c>
      <c r="G203" s="0" t="s">
        <v>3529</v>
      </c>
    </row>
    <row customHeight="1" ht="11.25">
      <c r="A204" s="373" t="s">
        <v>16</v>
      </c>
      <c r="B204" s="0" t="s">
        <v>3510</v>
      </c>
      <c r="C204" s="0" t="s">
        <v>3511</v>
      </c>
      <c r="D204" s="0" t="s">
        <v>3530</v>
      </c>
      <c r="E204" s="0" t="s">
        <v>3531</v>
      </c>
      <c r="F204" s="0" t="s">
        <v>2989</v>
      </c>
      <c r="G204" s="0" t="s">
        <v>3532</v>
      </c>
    </row>
    <row customHeight="1" ht="11.25">
      <c r="A205" s="373" t="s">
        <v>16</v>
      </c>
      <c r="B205" s="0" t="s">
        <v>3510</v>
      </c>
      <c r="C205" s="0" t="s">
        <v>3511</v>
      </c>
      <c r="D205" s="0" t="s">
        <v>3533</v>
      </c>
      <c r="E205" s="0" t="s">
        <v>3534</v>
      </c>
      <c r="F205" s="0" t="s">
        <v>2989</v>
      </c>
      <c r="G205" s="0" t="s">
        <v>3535</v>
      </c>
    </row>
    <row customHeight="1" ht="11.25">
      <c r="A206" s="373" t="s">
        <v>16</v>
      </c>
      <c r="B206" s="0" t="s">
        <v>3510</v>
      </c>
      <c r="C206" s="0" t="s">
        <v>3511</v>
      </c>
      <c r="D206" s="0" t="s">
        <v>3536</v>
      </c>
      <c r="E206" s="0" t="s">
        <v>3537</v>
      </c>
      <c r="F206" s="0" t="s">
        <v>2989</v>
      </c>
      <c r="G206" s="0" t="s">
        <v>3538</v>
      </c>
    </row>
    <row customHeight="1" ht="11.25">
      <c r="A207" s="373" t="s">
        <v>16</v>
      </c>
      <c r="B207" s="0" t="s">
        <v>3510</v>
      </c>
      <c r="C207" s="0" t="s">
        <v>3511</v>
      </c>
      <c r="D207" s="0" t="s">
        <v>3539</v>
      </c>
      <c r="E207" s="0" t="s">
        <v>3540</v>
      </c>
      <c r="F207" s="0" t="s">
        <v>2989</v>
      </c>
      <c r="G207" s="0" t="s">
        <v>3541</v>
      </c>
    </row>
    <row customHeight="1" ht="11.25">
      <c r="A208" s="373" t="s">
        <v>16</v>
      </c>
      <c r="B208" s="0" t="s">
        <v>3510</v>
      </c>
      <c r="C208" s="0" t="s">
        <v>3511</v>
      </c>
      <c r="D208" s="0" t="s">
        <v>3542</v>
      </c>
      <c r="E208" s="0" t="s">
        <v>3543</v>
      </c>
      <c r="F208" s="0" t="s">
        <v>3059</v>
      </c>
      <c r="G208" s="0" t="s">
        <v>3544</v>
      </c>
    </row>
    <row customHeight="1" ht="11.25">
      <c r="A209" s="373" t="s">
        <v>16</v>
      </c>
      <c r="B209" s="0" t="s">
        <v>3545</v>
      </c>
      <c r="C209" s="0" t="s">
        <v>3546</v>
      </c>
      <c r="D209" s="0" t="s">
        <v>3547</v>
      </c>
      <c r="E209" s="0" t="s">
        <v>3548</v>
      </c>
      <c r="F209" s="0" t="s">
        <v>2989</v>
      </c>
      <c r="G209" s="0" t="s">
        <v>3549</v>
      </c>
    </row>
    <row customHeight="1" ht="11.25">
      <c r="A210" s="373" t="s">
        <v>16</v>
      </c>
      <c r="B210" s="0" t="s">
        <v>3545</v>
      </c>
      <c r="C210" s="0" t="s">
        <v>3546</v>
      </c>
      <c r="D210" s="0" t="s">
        <v>3550</v>
      </c>
      <c r="E210" s="0" t="s">
        <v>3551</v>
      </c>
      <c r="F210" s="0" t="s">
        <v>2989</v>
      </c>
      <c r="G210" s="0" t="s">
        <v>3552</v>
      </c>
    </row>
    <row customHeight="1" ht="11.25">
      <c r="A211" s="373" t="s">
        <v>16</v>
      </c>
      <c r="B211" s="0" t="s">
        <v>3545</v>
      </c>
      <c r="C211" s="0" t="s">
        <v>3546</v>
      </c>
      <c r="D211" s="0" t="s">
        <v>3553</v>
      </c>
      <c r="E211" s="0" t="s">
        <v>3554</v>
      </c>
      <c r="F211" s="0" t="s">
        <v>2989</v>
      </c>
      <c r="G211" s="0" t="s">
        <v>3555</v>
      </c>
    </row>
    <row customHeight="1" ht="11.25">
      <c r="A212" s="373" t="s">
        <v>16</v>
      </c>
      <c r="B212" s="0" t="s">
        <v>3545</v>
      </c>
      <c r="C212" s="0" t="s">
        <v>3546</v>
      </c>
      <c r="D212" s="0" t="s">
        <v>3556</v>
      </c>
      <c r="E212" s="0" t="s">
        <v>3557</v>
      </c>
      <c r="F212" s="0" t="s">
        <v>2989</v>
      </c>
      <c r="G212" s="0" t="s">
        <v>3558</v>
      </c>
    </row>
    <row customHeight="1" ht="11.25">
      <c r="A213" s="373" t="s">
        <v>16</v>
      </c>
      <c r="B213" s="0" t="s">
        <v>3545</v>
      </c>
      <c r="C213" s="0" t="s">
        <v>3546</v>
      </c>
      <c r="D213" s="0" t="s">
        <v>3559</v>
      </c>
      <c r="E213" s="0" t="s">
        <v>3560</v>
      </c>
      <c r="F213" s="0" t="s">
        <v>2989</v>
      </c>
      <c r="G213" s="0" t="s">
        <v>3561</v>
      </c>
    </row>
    <row customHeight="1" ht="11.25">
      <c r="A214" s="373" t="s">
        <v>16</v>
      </c>
      <c r="B214" s="0" t="s">
        <v>3545</v>
      </c>
      <c r="C214" s="0" t="s">
        <v>3546</v>
      </c>
      <c r="D214" s="0" t="s">
        <v>3562</v>
      </c>
      <c r="E214" s="0" t="s">
        <v>3563</v>
      </c>
      <c r="F214" s="0" t="s">
        <v>2989</v>
      </c>
      <c r="G214" s="0" t="s">
        <v>3564</v>
      </c>
    </row>
    <row customHeight="1" ht="11.25">
      <c r="A215" s="373" t="s">
        <v>16</v>
      </c>
      <c r="B215" s="0" t="s">
        <v>3545</v>
      </c>
      <c r="C215" s="0" t="s">
        <v>3546</v>
      </c>
      <c r="D215" s="0" t="s">
        <v>3565</v>
      </c>
      <c r="E215" s="0" t="s">
        <v>3566</v>
      </c>
      <c r="F215" s="0" t="s">
        <v>2989</v>
      </c>
      <c r="G215" s="0" t="s">
        <v>3567</v>
      </c>
    </row>
    <row customHeight="1" ht="11.25">
      <c r="A216" s="373" t="s">
        <v>16</v>
      </c>
      <c r="B216" s="0" t="s">
        <v>3545</v>
      </c>
      <c r="C216" s="0" t="s">
        <v>3546</v>
      </c>
      <c r="D216" s="0" t="s">
        <v>3545</v>
      </c>
      <c r="E216" s="0" t="s">
        <v>3546</v>
      </c>
      <c r="F216" s="0" t="s">
        <v>2990</v>
      </c>
      <c r="G216" s="0" t="s">
        <v>3568</v>
      </c>
    </row>
    <row customHeight="1" ht="11.25">
      <c r="A217" s="373" t="s">
        <v>16</v>
      </c>
      <c r="B217" s="0" t="s">
        <v>3545</v>
      </c>
      <c r="C217" s="0" t="s">
        <v>3546</v>
      </c>
      <c r="D217" s="0" t="s">
        <v>3569</v>
      </c>
      <c r="E217" s="0" t="s">
        <v>3570</v>
      </c>
      <c r="F217" s="0" t="s">
        <v>3059</v>
      </c>
      <c r="G217" s="0" t="s">
        <v>3571</v>
      </c>
    </row>
    <row customHeight="1" ht="11.25">
      <c r="A218" s="373" t="s">
        <v>16</v>
      </c>
      <c r="B218" s="0" t="s">
        <v>3572</v>
      </c>
      <c r="C218" s="0" t="s">
        <v>3573</v>
      </c>
      <c r="D218" s="0" t="s">
        <v>3574</v>
      </c>
      <c r="E218" s="0" t="s">
        <v>3575</v>
      </c>
      <c r="F218" s="0" t="s">
        <v>2989</v>
      </c>
      <c r="G218" s="0" t="s">
        <v>3576</v>
      </c>
    </row>
    <row customHeight="1" ht="11.25">
      <c r="A219" s="373" t="s">
        <v>16</v>
      </c>
      <c r="B219" s="0" t="s">
        <v>3572</v>
      </c>
      <c r="C219" s="0" t="s">
        <v>3573</v>
      </c>
      <c r="D219" s="0" t="s">
        <v>3206</v>
      </c>
      <c r="E219" s="0" t="s">
        <v>3577</v>
      </c>
      <c r="F219" s="0" t="s">
        <v>2989</v>
      </c>
      <c r="G219" s="0" t="s">
        <v>3578</v>
      </c>
    </row>
    <row customHeight="1" ht="11.25">
      <c r="A220" s="373" t="s">
        <v>16</v>
      </c>
      <c r="B220" s="0" t="s">
        <v>3572</v>
      </c>
      <c r="C220" s="0" t="s">
        <v>3573</v>
      </c>
      <c r="D220" s="0" t="s">
        <v>3579</v>
      </c>
      <c r="E220" s="0" t="s">
        <v>3580</v>
      </c>
      <c r="F220" s="0" t="s">
        <v>2989</v>
      </c>
      <c r="G220" s="0" t="s">
        <v>3581</v>
      </c>
    </row>
    <row customHeight="1" ht="11.25">
      <c r="A221" s="373" t="s">
        <v>16</v>
      </c>
      <c r="B221" s="0" t="s">
        <v>3572</v>
      </c>
      <c r="C221" s="0" t="s">
        <v>3573</v>
      </c>
      <c r="D221" s="0" t="s">
        <v>3572</v>
      </c>
      <c r="E221" s="0" t="s">
        <v>3573</v>
      </c>
      <c r="F221" s="0" t="s">
        <v>2990</v>
      </c>
      <c r="G221" s="0" t="s">
        <v>3582</v>
      </c>
    </row>
    <row customHeight="1" ht="11.25">
      <c r="A222" s="373" t="s">
        <v>16</v>
      </c>
      <c r="B222" s="0" t="s">
        <v>3572</v>
      </c>
      <c r="C222" s="0" t="s">
        <v>3573</v>
      </c>
      <c r="D222" s="0" t="s">
        <v>3583</v>
      </c>
      <c r="E222" s="0" t="s">
        <v>3584</v>
      </c>
      <c r="F222" s="0" t="s">
        <v>2989</v>
      </c>
      <c r="G222" s="0" t="s">
        <v>3585</v>
      </c>
    </row>
    <row customHeight="1" ht="11.25">
      <c r="A223" s="373" t="s">
        <v>16</v>
      </c>
      <c r="B223" s="0" t="s">
        <v>3572</v>
      </c>
      <c r="C223" s="0" t="s">
        <v>3573</v>
      </c>
      <c r="D223" s="0" t="s">
        <v>3586</v>
      </c>
      <c r="E223" s="0" t="s">
        <v>3587</v>
      </c>
      <c r="F223" s="0" t="s">
        <v>2989</v>
      </c>
      <c r="G223" s="0" t="s">
        <v>3588</v>
      </c>
    </row>
    <row customHeight="1" ht="11.25">
      <c r="A224" s="373" t="s">
        <v>16</v>
      </c>
      <c r="B224" s="0" t="s">
        <v>3572</v>
      </c>
      <c r="C224" s="0" t="s">
        <v>3573</v>
      </c>
      <c r="D224" s="0" t="s">
        <v>3589</v>
      </c>
      <c r="E224" s="0" t="s">
        <v>3590</v>
      </c>
      <c r="F224" s="0" t="s">
        <v>2989</v>
      </c>
      <c r="G224" s="0" t="s">
        <v>3591</v>
      </c>
    </row>
    <row customHeight="1" ht="11.25">
      <c r="A225" s="373" t="s">
        <v>16</v>
      </c>
      <c r="B225" s="0" t="s">
        <v>3572</v>
      </c>
      <c r="C225" s="0" t="s">
        <v>3573</v>
      </c>
      <c r="D225" s="0" t="s">
        <v>3592</v>
      </c>
      <c r="E225" s="0" t="s">
        <v>3593</v>
      </c>
      <c r="F225" s="0" t="s">
        <v>2989</v>
      </c>
      <c r="G225" s="0" t="s">
        <v>3594</v>
      </c>
    </row>
    <row customHeight="1" ht="11.25">
      <c r="A226" s="373" t="s">
        <v>16</v>
      </c>
      <c r="B226" s="0" t="s">
        <v>3572</v>
      </c>
      <c r="C226" s="0" t="s">
        <v>3573</v>
      </c>
      <c r="D226" s="0" t="s">
        <v>3595</v>
      </c>
      <c r="E226" s="0" t="s">
        <v>3596</v>
      </c>
      <c r="F226" s="0" t="s">
        <v>2989</v>
      </c>
      <c r="G226" s="0" t="s">
        <v>3597</v>
      </c>
    </row>
    <row customHeight="1" ht="11.25">
      <c r="A227" s="373" t="s">
        <v>16</v>
      </c>
      <c r="B227" s="0" t="s">
        <v>3572</v>
      </c>
      <c r="C227" s="0" t="s">
        <v>3573</v>
      </c>
      <c r="D227" s="0" t="s">
        <v>3598</v>
      </c>
      <c r="E227" s="0" t="s">
        <v>3599</v>
      </c>
      <c r="F227" s="0" t="s">
        <v>3059</v>
      </c>
      <c r="G227" s="0" t="s">
        <v>3600</v>
      </c>
    </row>
    <row customHeight="1" ht="11.25">
      <c r="A228" s="373" t="s">
        <v>16</v>
      </c>
      <c r="B228" s="0" t="s">
        <v>3572</v>
      </c>
      <c r="C228" s="0" t="s">
        <v>3573</v>
      </c>
      <c r="D228" s="0" t="s">
        <v>3601</v>
      </c>
      <c r="E228" s="0" t="s">
        <v>3602</v>
      </c>
      <c r="F228" s="0" t="s">
        <v>3059</v>
      </c>
      <c r="G228" s="0" t="s">
        <v>3603</v>
      </c>
    </row>
    <row customHeight="1" ht="11.25">
      <c r="A229" s="373" t="s">
        <v>16</v>
      </c>
      <c r="B229" s="0" t="s">
        <v>3604</v>
      </c>
      <c r="C229" s="0" t="s">
        <v>3605</v>
      </c>
      <c r="D229" s="0" t="s">
        <v>3606</v>
      </c>
      <c r="E229" s="0" t="s">
        <v>3607</v>
      </c>
      <c r="F229" s="0" t="s">
        <v>2989</v>
      </c>
      <c r="G229" s="0" t="s">
        <v>3608</v>
      </c>
    </row>
    <row customHeight="1" ht="11.25">
      <c r="A230" s="373" t="s">
        <v>16</v>
      </c>
      <c r="B230" s="0" t="s">
        <v>3604</v>
      </c>
      <c r="C230" s="0" t="s">
        <v>3605</v>
      </c>
      <c r="D230" s="0" t="s">
        <v>3609</v>
      </c>
      <c r="E230" s="0" t="s">
        <v>3610</v>
      </c>
      <c r="F230" s="0" t="s">
        <v>2989</v>
      </c>
      <c r="G230" s="0" t="s">
        <v>3611</v>
      </c>
    </row>
    <row customHeight="1" ht="11.25">
      <c r="A231" s="373" t="s">
        <v>16</v>
      </c>
      <c r="B231" s="0" t="s">
        <v>3604</v>
      </c>
      <c r="C231" s="0" t="s">
        <v>3605</v>
      </c>
      <c r="D231" s="0" t="s">
        <v>3612</v>
      </c>
      <c r="E231" s="0" t="s">
        <v>3613</v>
      </c>
      <c r="F231" s="0" t="s">
        <v>2989</v>
      </c>
      <c r="G231" s="0" t="s">
        <v>3614</v>
      </c>
    </row>
    <row customHeight="1" ht="11.25">
      <c r="A232" s="373" t="s">
        <v>16</v>
      </c>
      <c r="B232" s="0" t="s">
        <v>3604</v>
      </c>
      <c r="C232" s="0" t="s">
        <v>3605</v>
      </c>
      <c r="D232" s="0" t="s">
        <v>3615</v>
      </c>
      <c r="E232" s="0" t="s">
        <v>3616</v>
      </c>
      <c r="F232" s="0" t="s">
        <v>2989</v>
      </c>
      <c r="G232" s="0" t="s">
        <v>3617</v>
      </c>
    </row>
    <row customHeight="1" ht="11.25">
      <c r="A233" s="373" t="s">
        <v>16</v>
      </c>
      <c r="B233" s="0" t="s">
        <v>3604</v>
      </c>
      <c r="C233" s="0" t="s">
        <v>3605</v>
      </c>
      <c r="D233" s="0" t="s">
        <v>3618</v>
      </c>
      <c r="E233" s="0" t="s">
        <v>3619</v>
      </c>
      <c r="F233" s="0" t="s">
        <v>2989</v>
      </c>
      <c r="G233" s="0" t="s">
        <v>3620</v>
      </c>
    </row>
    <row customHeight="1" ht="11.25">
      <c r="A234" s="373" t="s">
        <v>16</v>
      </c>
      <c r="B234" s="0" t="s">
        <v>3604</v>
      </c>
      <c r="C234" s="0" t="s">
        <v>3605</v>
      </c>
      <c r="D234" s="0" t="s">
        <v>3621</v>
      </c>
      <c r="E234" s="0" t="s">
        <v>3622</v>
      </c>
      <c r="F234" s="0" t="s">
        <v>2989</v>
      </c>
      <c r="G234" s="0" t="s">
        <v>3623</v>
      </c>
    </row>
    <row customHeight="1" ht="11.25">
      <c r="A235" s="373" t="s">
        <v>16</v>
      </c>
      <c r="B235" s="0" t="s">
        <v>3604</v>
      </c>
      <c r="C235" s="0" t="s">
        <v>3605</v>
      </c>
      <c r="D235" s="0" t="s">
        <v>3135</v>
      </c>
      <c r="E235" s="0" t="s">
        <v>3624</v>
      </c>
      <c r="F235" s="0" t="s">
        <v>2989</v>
      </c>
      <c r="G235" s="0" t="s">
        <v>3625</v>
      </c>
    </row>
    <row customHeight="1" ht="11.25">
      <c r="A236" s="373" t="s">
        <v>16</v>
      </c>
      <c r="B236" s="0" t="s">
        <v>3604</v>
      </c>
      <c r="C236" s="0" t="s">
        <v>3605</v>
      </c>
      <c r="D236" s="0" t="s">
        <v>3626</v>
      </c>
      <c r="E236" s="0" t="s">
        <v>3627</v>
      </c>
      <c r="F236" s="0" t="s">
        <v>2989</v>
      </c>
      <c r="G236" s="0" t="s">
        <v>3628</v>
      </c>
    </row>
    <row customHeight="1" ht="11.25">
      <c r="A237" s="373" t="s">
        <v>16</v>
      </c>
      <c r="B237" s="0" t="s">
        <v>3604</v>
      </c>
      <c r="C237" s="0" t="s">
        <v>3605</v>
      </c>
      <c r="D237" s="0" t="s">
        <v>3629</v>
      </c>
      <c r="E237" s="0" t="s">
        <v>3630</v>
      </c>
      <c r="F237" s="0" t="s">
        <v>2989</v>
      </c>
      <c r="G237" s="0" t="s">
        <v>3631</v>
      </c>
    </row>
    <row customHeight="1" ht="11.25">
      <c r="A238" s="373" t="s">
        <v>16</v>
      </c>
      <c r="B238" s="0" t="s">
        <v>3604</v>
      </c>
      <c r="C238" s="0" t="s">
        <v>3605</v>
      </c>
      <c r="D238" s="0" t="s">
        <v>3632</v>
      </c>
      <c r="E238" s="0" t="s">
        <v>3633</v>
      </c>
      <c r="F238" s="0" t="s">
        <v>2989</v>
      </c>
      <c r="G238" s="0" t="s">
        <v>3634</v>
      </c>
    </row>
    <row customHeight="1" ht="11.25">
      <c r="A239" s="373" t="s">
        <v>16</v>
      </c>
      <c r="B239" s="0" t="s">
        <v>3604</v>
      </c>
      <c r="C239" s="0" t="s">
        <v>3605</v>
      </c>
      <c r="D239" s="0" t="s">
        <v>3635</v>
      </c>
      <c r="E239" s="0" t="s">
        <v>3636</v>
      </c>
      <c r="F239" s="0" t="s">
        <v>2989</v>
      </c>
      <c r="G239" s="0" t="s">
        <v>3637</v>
      </c>
    </row>
    <row customHeight="1" ht="11.25">
      <c r="A240" s="373" t="s">
        <v>16</v>
      </c>
      <c r="B240" s="0" t="s">
        <v>3604</v>
      </c>
      <c r="C240" s="0" t="s">
        <v>3605</v>
      </c>
      <c r="D240" s="0" t="s">
        <v>3638</v>
      </c>
      <c r="E240" s="0" t="s">
        <v>3639</v>
      </c>
      <c r="F240" s="0" t="s">
        <v>2989</v>
      </c>
      <c r="G240" s="0" t="s">
        <v>3640</v>
      </c>
    </row>
    <row customHeight="1" ht="11.25">
      <c r="A241" s="373" t="s">
        <v>16</v>
      </c>
      <c r="B241" s="0" t="s">
        <v>3604</v>
      </c>
      <c r="C241" s="0" t="s">
        <v>3605</v>
      </c>
      <c r="D241" s="0" t="s">
        <v>3604</v>
      </c>
      <c r="E241" s="0" t="s">
        <v>3605</v>
      </c>
      <c r="F241" s="0" t="s">
        <v>2990</v>
      </c>
      <c r="G241" s="0" t="s">
        <v>3641</v>
      </c>
    </row>
    <row customHeight="1" ht="11.25">
      <c r="A242" s="373" t="s">
        <v>16</v>
      </c>
      <c r="B242" s="0" t="s">
        <v>3604</v>
      </c>
      <c r="C242" s="0" t="s">
        <v>3605</v>
      </c>
      <c r="D242" s="0" t="s">
        <v>3147</v>
      </c>
      <c r="E242" s="0" t="s">
        <v>3642</v>
      </c>
      <c r="F242" s="0" t="s">
        <v>2989</v>
      </c>
      <c r="G242" s="0" t="s">
        <v>3643</v>
      </c>
    </row>
    <row customHeight="1" ht="11.25">
      <c r="A243" s="373" t="s">
        <v>16</v>
      </c>
      <c r="B243" s="0" t="s">
        <v>3604</v>
      </c>
      <c r="C243" s="0" t="s">
        <v>3605</v>
      </c>
      <c r="D243" s="0" t="s">
        <v>3644</v>
      </c>
      <c r="E243" s="0" t="s">
        <v>3645</v>
      </c>
      <c r="F243" s="0" t="s">
        <v>2989</v>
      </c>
      <c r="G243" s="0" t="s">
        <v>3646</v>
      </c>
    </row>
    <row customHeight="1" ht="11.25">
      <c r="A244" s="373" t="s">
        <v>16</v>
      </c>
      <c r="B244" s="0" t="s">
        <v>3604</v>
      </c>
      <c r="C244" s="0" t="s">
        <v>3605</v>
      </c>
      <c r="D244" s="0" t="s">
        <v>3647</v>
      </c>
      <c r="E244" s="0" t="s">
        <v>3648</v>
      </c>
      <c r="F244" s="0" t="s">
        <v>3114</v>
      </c>
      <c r="G244" s="0" t="s">
        <v>3649</v>
      </c>
    </row>
    <row customHeight="1" ht="11.25">
      <c r="A245" s="373" t="s">
        <v>16</v>
      </c>
      <c r="B245" s="0" t="s">
        <v>3650</v>
      </c>
      <c r="C245" s="0" t="s">
        <v>3651</v>
      </c>
      <c r="D245" s="0" t="s">
        <v>3652</v>
      </c>
      <c r="E245" s="0" t="s">
        <v>3653</v>
      </c>
      <c r="F245" s="0" t="s">
        <v>2989</v>
      </c>
      <c r="G245" s="0" t="s">
        <v>3654</v>
      </c>
    </row>
    <row customHeight="1" ht="11.25">
      <c r="A246" s="373" t="s">
        <v>16</v>
      </c>
      <c r="B246" s="0" t="s">
        <v>3650</v>
      </c>
      <c r="C246" s="0" t="s">
        <v>3651</v>
      </c>
      <c r="D246" s="0" t="s">
        <v>3655</v>
      </c>
      <c r="E246" s="0" t="s">
        <v>3656</v>
      </c>
      <c r="F246" s="0" t="s">
        <v>2989</v>
      </c>
      <c r="G246" s="0" t="s">
        <v>3657</v>
      </c>
    </row>
    <row customHeight="1" ht="11.25">
      <c r="A247" s="373" t="s">
        <v>16</v>
      </c>
      <c r="B247" s="0" t="s">
        <v>3650</v>
      </c>
      <c r="C247" s="0" t="s">
        <v>3651</v>
      </c>
      <c r="D247" s="0" t="s">
        <v>3658</v>
      </c>
      <c r="E247" s="0" t="s">
        <v>3659</v>
      </c>
      <c r="F247" s="0" t="s">
        <v>2989</v>
      </c>
      <c r="G247" s="0" t="s">
        <v>3660</v>
      </c>
    </row>
    <row customHeight="1" ht="11.25">
      <c r="A248" s="373" t="s">
        <v>16</v>
      </c>
      <c r="B248" s="0" t="s">
        <v>3650</v>
      </c>
      <c r="C248" s="0" t="s">
        <v>3651</v>
      </c>
      <c r="D248" s="0" t="s">
        <v>3209</v>
      </c>
      <c r="E248" s="0" t="s">
        <v>3661</v>
      </c>
      <c r="F248" s="0" t="s">
        <v>2989</v>
      </c>
      <c r="G248" s="0" t="s">
        <v>3662</v>
      </c>
    </row>
    <row customHeight="1" ht="11.25">
      <c r="A249" s="373" t="s">
        <v>16</v>
      </c>
      <c r="B249" s="0" t="s">
        <v>3650</v>
      </c>
      <c r="C249" s="0" t="s">
        <v>3651</v>
      </c>
      <c r="D249" s="0" t="s">
        <v>3663</v>
      </c>
      <c r="E249" s="0" t="s">
        <v>3664</v>
      </c>
      <c r="F249" s="0" t="s">
        <v>2989</v>
      </c>
      <c r="G249" s="0" t="s">
        <v>3665</v>
      </c>
    </row>
    <row customHeight="1" ht="11.25">
      <c r="A250" s="373" t="s">
        <v>16</v>
      </c>
      <c r="B250" s="0" t="s">
        <v>3650</v>
      </c>
      <c r="C250" s="0" t="s">
        <v>3651</v>
      </c>
      <c r="D250" s="0" t="s">
        <v>3218</v>
      </c>
      <c r="E250" s="0" t="s">
        <v>3666</v>
      </c>
      <c r="F250" s="0" t="s">
        <v>2989</v>
      </c>
      <c r="G250" s="0" t="s">
        <v>3667</v>
      </c>
    </row>
    <row customHeight="1" ht="11.25">
      <c r="A251" s="373" t="s">
        <v>16</v>
      </c>
      <c r="B251" s="0" t="s">
        <v>3650</v>
      </c>
      <c r="C251" s="0" t="s">
        <v>3651</v>
      </c>
      <c r="D251" s="0" t="s">
        <v>3668</v>
      </c>
      <c r="E251" s="0" t="s">
        <v>3669</v>
      </c>
      <c r="F251" s="0" t="s">
        <v>2989</v>
      </c>
      <c r="G251" s="0" t="s">
        <v>3670</v>
      </c>
    </row>
    <row customHeight="1" ht="11.25">
      <c r="A252" s="373" t="s">
        <v>16</v>
      </c>
      <c r="B252" s="0" t="s">
        <v>3650</v>
      </c>
      <c r="C252" s="0" t="s">
        <v>3651</v>
      </c>
      <c r="D252" s="0" t="s">
        <v>3671</v>
      </c>
      <c r="E252" s="0" t="s">
        <v>3672</v>
      </c>
      <c r="F252" s="0" t="s">
        <v>2989</v>
      </c>
      <c r="G252" s="0" t="s">
        <v>3673</v>
      </c>
    </row>
    <row customHeight="1" ht="11.25">
      <c r="A253" s="373" t="s">
        <v>16</v>
      </c>
      <c r="B253" s="0" t="s">
        <v>3650</v>
      </c>
      <c r="C253" s="0" t="s">
        <v>3651</v>
      </c>
      <c r="D253" s="0" t="s">
        <v>3674</v>
      </c>
      <c r="E253" s="0" t="s">
        <v>3675</v>
      </c>
      <c r="F253" s="0" t="s">
        <v>2989</v>
      </c>
      <c r="G253" s="0" t="s">
        <v>3676</v>
      </c>
    </row>
    <row customHeight="1" ht="11.25">
      <c r="A254" s="373" t="s">
        <v>16</v>
      </c>
      <c r="B254" s="0" t="s">
        <v>3650</v>
      </c>
      <c r="C254" s="0" t="s">
        <v>3651</v>
      </c>
      <c r="D254" s="0" t="s">
        <v>3650</v>
      </c>
      <c r="E254" s="0" t="s">
        <v>3651</v>
      </c>
      <c r="F254" s="0" t="s">
        <v>2990</v>
      </c>
      <c r="G254" s="0" t="s">
        <v>3677</v>
      </c>
    </row>
    <row customHeight="1" ht="11.25">
      <c r="A255" s="373" t="s">
        <v>16</v>
      </c>
      <c r="B255" s="0" t="s">
        <v>3650</v>
      </c>
      <c r="C255" s="0" t="s">
        <v>3651</v>
      </c>
      <c r="D255" s="0" t="s">
        <v>3678</v>
      </c>
      <c r="E255" s="0" t="s">
        <v>3679</v>
      </c>
      <c r="F255" s="0" t="s">
        <v>2989</v>
      </c>
      <c r="G255" s="0" t="s">
        <v>3680</v>
      </c>
    </row>
    <row customHeight="1" ht="11.25">
      <c r="A256" s="373" t="s">
        <v>16</v>
      </c>
      <c r="B256" s="0" t="s">
        <v>3650</v>
      </c>
      <c r="C256" s="0" t="s">
        <v>3651</v>
      </c>
      <c r="D256" s="0" t="s">
        <v>3681</v>
      </c>
      <c r="E256" s="0" t="s">
        <v>3682</v>
      </c>
      <c r="F256" s="0" t="s">
        <v>3059</v>
      </c>
      <c r="G256" s="0" t="s">
        <v>3683</v>
      </c>
    </row>
    <row customHeight="1" ht="11.25">
      <c r="A257" s="373" t="s">
        <v>16</v>
      </c>
      <c r="B257" s="0" t="s">
        <v>3684</v>
      </c>
      <c r="C257" s="0" t="s">
        <v>3685</v>
      </c>
      <c r="D257" s="0" t="s">
        <v>3686</v>
      </c>
      <c r="E257" s="0" t="s">
        <v>3687</v>
      </c>
      <c r="F257" s="0" t="s">
        <v>2989</v>
      </c>
      <c r="G257" s="0" t="s">
        <v>3688</v>
      </c>
    </row>
    <row customHeight="1" ht="11.25">
      <c r="A258" s="373" t="s">
        <v>16</v>
      </c>
      <c r="B258" s="0" t="s">
        <v>3684</v>
      </c>
      <c r="C258" s="0" t="s">
        <v>3685</v>
      </c>
      <c r="D258" s="0" t="s">
        <v>3689</v>
      </c>
      <c r="E258" s="0" t="s">
        <v>3690</v>
      </c>
      <c r="F258" s="0" t="s">
        <v>2989</v>
      </c>
      <c r="G258" s="0" t="s">
        <v>3691</v>
      </c>
    </row>
    <row customHeight="1" ht="11.25">
      <c r="A259" s="373" t="s">
        <v>16</v>
      </c>
      <c r="B259" s="0" t="s">
        <v>3684</v>
      </c>
      <c r="C259" s="0" t="s">
        <v>3685</v>
      </c>
      <c r="D259" s="0" t="s">
        <v>3612</v>
      </c>
      <c r="E259" s="0" t="s">
        <v>3692</v>
      </c>
      <c r="F259" s="0" t="s">
        <v>2989</v>
      </c>
      <c r="G259" s="0" t="s">
        <v>3693</v>
      </c>
    </row>
    <row customHeight="1" ht="11.25">
      <c r="A260" s="373" t="s">
        <v>16</v>
      </c>
      <c r="B260" s="0" t="s">
        <v>3684</v>
      </c>
      <c r="C260" s="0" t="s">
        <v>3685</v>
      </c>
      <c r="D260" s="0" t="s">
        <v>3684</v>
      </c>
      <c r="E260" s="0" t="s">
        <v>3685</v>
      </c>
      <c r="F260" s="0" t="s">
        <v>2990</v>
      </c>
      <c r="G260" s="0" t="s">
        <v>3694</v>
      </c>
    </row>
    <row customHeight="1" ht="11.25">
      <c r="A261" s="373" t="s">
        <v>16</v>
      </c>
      <c r="B261" s="0" t="s">
        <v>3684</v>
      </c>
      <c r="C261" s="0" t="s">
        <v>3685</v>
      </c>
      <c r="D261" s="0" t="s">
        <v>3695</v>
      </c>
      <c r="E261" s="0" t="s">
        <v>3696</v>
      </c>
      <c r="F261" s="0" t="s">
        <v>2989</v>
      </c>
      <c r="G261" s="0" t="s">
        <v>3697</v>
      </c>
    </row>
    <row customHeight="1" ht="11.25">
      <c r="A262" s="373" t="s">
        <v>16</v>
      </c>
      <c r="B262" s="0" t="s">
        <v>3684</v>
      </c>
      <c r="C262" s="0" t="s">
        <v>3685</v>
      </c>
      <c r="D262" s="0" t="s">
        <v>3698</v>
      </c>
      <c r="E262" s="0" t="s">
        <v>3699</v>
      </c>
      <c r="F262" s="0" t="s">
        <v>2989</v>
      </c>
      <c r="G262" s="0" t="s">
        <v>3700</v>
      </c>
    </row>
    <row customHeight="1" ht="11.25">
      <c r="A263" s="373" t="s">
        <v>16</v>
      </c>
      <c r="B263" s="0" t="s">
        <v>3684</v>
      </c>
      <c r="C263" s="0" t="s">
        <v>3685</v>
      </c>
      <c r="D263" s="0" t="s">
        <v>3351</v>
      </c>
      <c r="E263" s="0" t="s">
        <v>3701</v>
      </c>
      <c r="F263" s="0" t="s">
        <v>2989</v>
      </c>
      <c r="G263" s="0" t="s">
        <v>3702</v>
      </c>
    </row>
    <row customHeight="1" ht="11.25">
      <c r="A264" s="373" t="s">
        <v>16</v>
      </c>
      <c r="B264" s="0" t="s">
        <v>3684</v>
      </c>
      <c r="C264" s="0" t="s">
        <v>3685</v>
      </c>
      <c r="D264" s="0" t="s">
        <v>3703</v>
      </c>
      <c r="E264" s="0" t="s">
        <v>3704</v>
      </c>
      <c r="F264" s="0" t="s">
        <v>3059</v>
      </c>
      <c r="G264" s="0" t="s">
        <v>3705</v>
      </c>
    </row>
    <row customHeight="1" ht="11.25">
      <c r="A265" s="373" t="s">
        <v>16</v>
      </c>
      <c r="B265" s="0" t="s">
        <v>3706</v>
      </c>
      <c r="C265" s="0" t="s">
        <v>3707</v>
      </c>
      <c r="D265" s="0" t="s">
        <v>3708</v>
      </c>
      <c r="E265" s="0" t="s">
        <v>3709</v>
      </c>
      <c r="F265" s="0" t="s">
        <v>2989</v>
      </c>
      <c r="G265" s="0" t="s">
        <v>3710</v>
      </c>
    </row>
    <row customHeight="1" ht="11.25">
      <c r="A266" s="373" t="s">
        <v>16</v>
      </c>
      <c r="B266" s="0" t="s">
        <v>3706</v>
      </c>
      <c r="C266" s="0" t="s">
        <v>3707</v>
      </c>
      <c r="D266" s="0" t="s">
        <v>3711</v>
      </c>
      <c r="E266" s="0" t="s">
        <v>3712</v>
      </c>
      <c r="F266" s="0" t="s">
        <v>2989</v>
      </c>
      <c r="G266" s="0" t="s">
        <v>3713</v>
      </c>
    </row>
    <row customHeight="1" ht="11.25">
      <c r="A267" s="373" t="s">
        <v>16</v>
      </c>
      <c r="B267" s="0" t="s">
        <v>3706</v>
      </c>
      <c r="C267" s="0" t="s">
        <v>3707</v>
      </c>
      <c r="D267" s="0" t="s">
        <v>3714</v>
      </c>
      <c r="E267" s="0" t="s">
        <v>3715</v>
      </c>
      <c r="F267" s="0" t="s">
        <v>2989</v>
      </c>
      <c r="G267" s="0" t="s">
        <v>3716</v>
      </c>
    </row>
    <row customHeight="1" ht="11.25">
      <c r="A268" s="373" t="s">
        <v>16</v>
      </c>
      <c r="B268" s="0" t="s">
        <v>3706</v>
      </c>
      <c r="C268" s="0" t="s">
        <v>3707</v>
      </c>
      <c r="D268" s="0" t="s">
        <v>3717</v>
      </c>
      <c r="E268" s="0" t="s">
        <v>3718</v>
      </c>
      <c r="F268" s="0" t="s">
        <v>2989</v>
      </c>
      <c r="G268" s="0" t="s">
        <v>3719</v>
      </c>
    </row>
    <row customHeight="1" ht="11.25">
      <c r="A269" s="373" t="s">
        <v>16</v>
      </c>
      <c r="B269" s="0" t="s">
        <v>3706</v>
      </c>
      <c r="C269" s="0" t="s">
        <v>3707</v>
      </c>
      <c r="D269" s="0" t="s">
        <v>3720</v>
      </c>
      <c r="E269" s="0" t="s">
        <v>3721</v>
      </c>
      <c r="F269" s="0" t="s">
        <v>2989</v>
      </c>
      <c r="G269" s="0" t="s">
        <v>3722</v>
      </c>
    </row>
    <row customHeight="1" ht="11.25">
      <c r="A270" s="373" t="s">
        <v>16</v>
      </c>
      <c r="B270" s="0" t="s">
        <v>3706</v>
      </c>
      <c r="C270" s="0" t="s">
        <v>3707</v>
      </c>
      <c r="D270" s="0" t="s">
        <v>3723</v>
      </c>
      <c r="E270" s="0" t="s">
        <v>3724</v>
      </c>
      <c r="F270" s="0" t="s">
        <v>2989</v>
      </c>
      <c r="G270" s="0" t="s">
        <v>3725</v>
      </c>
    </row>
    <row customHeight="1" ht="11.25">
      <c r="A271" s="373" t="s">
        <v>16</v>
      </c>
      <c r="B271" s="0" t="s">
        <v>3706</v>
      </c>
      <c r="C271" s="0" t="s">
        <v>3707</v>
      </c>
      <c r="D271" s="0" t="s">
        <v>3726</v>
      </c>
      <c r="E271" s="0" t="s">
        <v>3727</v>
      </c>
      <c r="F271" s="0" t="s">
        <v>2989</v>
      </c>
      <c r="G271" s="0" t="s">
        <v>3728</v>
      </c>
    </row>
    <row customHeight="1" ht="11.25">
      <c r="A272" s="373" t="s">
        <v>16</v>
      </c>
      <c r="B272" s="0" t="s">
        <v>3706</v>
      </c>
      <c r="C272" s="0" t="s">
        <v>3707</v>
      </c>
      <c r="D272" s="0" t="s">
        <v>3729</v>
      </c>
      <c r="E272" s="0" t="s">
        <v>3730</v>
      </c>
      <c r="F272" s="0" t="s">
        <v>2989</v>
      </c>
      <c r="G272" s="0" t="s">
        <v>3731</v>
      </c>
    </row>
    <row customHeight="1" ht="11.25">
      <c r="A273" s="373" t="s">
        <v>16</v>
      </c>
      <c r="B273" s="0" t="s">
        <v>3706</v>
      </c>
      <c r="C273" s="0" t="s">
        <v>3707</v>
      </c>
      <c r="D273" s="0" t="s">
        <v>3732</v>
      </c>
      <c r="E273" s="0" t="s">
        <v>3733</v>
      </c>
      <c r="F273" s="0" t="s">
        <v>2989</v>
      </c>
      <c r="G273" s="0" t="s">
        <v>3734</v>
      </c>
    </row>
    <row customHeight="1" ht="11.25">
      <c r="A274" s="373" t="s">
        <v>16</v>
      </c>
      <c r="B274" s="0" t="s">
        <v>3706</v>
      </c>
      <c r="C274" s="0" t="s">
        <v>3707</v>
      </c>
      <c r="D274" s="0" t="s">
        <v>3735</v>
      </c>
      <c r="E274" s="0" t="s">
        <v>3736</v>
      </c>
      <c r="F274" s="0" t="s">
        <v>2989</v>
      </c>
      <c r="G274" s="0" t="s">
        <v>3737</v>
      </c>
    </row>
    <row customHeight="1" ht="11.25">
      <c r="A275" s="373" t="s">
        <v>16</v>
      </c>
      <c r="B275" s="0" t="s">
        <v>3706</v>
      </c>
      <c r="C275" s="0" t="s">
        <v>3707</v>
      </c>
      <c r="D275" s="0" t="s">
        <v>3738</v>
      </c>
      <c r="E275" s="0" t="s">
        <v>3739</v>
      </c>
      <c r="F275" s="0" t="s">
        <v>2989</v>
      </c>
      <c r="G275" s="0" t="s">
        <v>3740</v>
      </c>
    </row>
    <row customHeight="1" ht="11.25">
      <c r="A276" s="373" t="s">
        <v>16</v>
      </c>
      <c r="B276" s="0" t="s">
        <v>3706</v>
      </c>
      <c r="C276" s="0" t="s">
        <v>3707</v>
      </c>
      <c r="D276" s="0" t="s">
        <v>3741</v>
      </c>
      <c r="E276" s="0" t="s">
        <v>3742</v>
      </c>
      <c r="F276" s="0" t="s">
        <v>2989</v>
      </c>
      <c r="G276" s="0" t="s">
        <v>3743</v>
      </c>
    </row>
    <row customHeight="1" ht="11.25">
      <c r="A277" s="373" t="s">
        <v>16</v>
      </c>
      <c r="B277" s="0" t="s">
        <v>3706</v>
      </c>
      <c r="C277" s="0" t="s">
        <v>3707</v>
      </c>
      <c r="D277" s="0" t="s">
        <v>3744</v>
      </c>
      <c r="E277" s="0" t="s">
        <v>3745</v>
      </c>
      <c r="F277" s="0" t="s">
        <v>2989</v>
      </c>
      <c r="G277" s="0" t="s">
        <v>3746</v>
      </c>
    </row>
    <row customHeight="1" ht="11.25">
      <c r="A278" s="373" t="s">
        <v>16</v>
      </c>
      <c r="B278" s="0" t="s">
        <v>3706</v>
      </c>
      <c r="C278" s="0" t="s">
        <v>3707</v>
      </c>
      <c r="D278" s="0" t="s">
        <v>3747</v>
      </c>
      <c r="E278" s="0" t="s">
        <v>3748</v>
      </c>
      <c r="F278" s="0" t="s">
        <v>2989</v>
      </c>
      <c r="G278" s="0" t="s">
        <v>3749</v>
      </c>
    </row>
    <row customHeight="1" ht="11.25">
      <c r="A279" s="373" t="s">
        <v>16</v>
      </c>
      <c r="B279" s="0" t="s">
        <v>3706</v>
      </c>
      <c r="C279" s="0" t="s">
        <v>3707</v>
      </c>
      <c r="D279" s="0" t="s">
        <v>3750</v>
      </c>
      <c r="E279" s="0" t="s">
        <v>3751</v>
      </c>
      <c r="F279" s="0" t="s">
        <v>2989</v>
      </c>
      <c r="G279" s="0" t="s">
        <v>3752</v>
      </c>
    </row>
    <row customHeight="1" ht="11.25">
      <c r="A280" s="373" t="s">
        <v>16</v>
      </c>
      <c r="B280" s="0" t="s">
        <v>3706</v>
      </c>
      <c r="C280" s="0" t="s">
        <v>3707</v>
      </c>
      <c r="D280" s="0" t="s">
        <v>3706</v>
      </c>
      <c r="E280" s="0" t="s">
        <v>3707</v>
      </c>
      <c r="F280" s="0" t="s">
        <v>2990</v>
      </c>
      <c r="G280" s="0" t="s">
        <v>3753</v>
      </c>
    </row>
    <row customHeight="1" ht="11.25">
      <c r="A281" s="373" t="s">
        <v>16</v>
      </c>
      <c r="B281" s="0" t="s">
        <v>3706</v>
      </c>
      <c r="C281" s="0" t="s">
        <v>3707</v>
      </c>
      <c r="D281" s="0" t="s">
        <v>3754</v>
      </c>
      <c r="E281" s="0" t="s">
        <v>3755</v>
      </c>
      <c r="F281" s="0" t="s">
        <v>2989</v>
      </c>
      <c r="G281" s="0" t="s">
        <v>3756</v>
      </c>
    </row>
    <row customHeight="1" ht="11.25">
      <c r="A282" s="373" t="s">
        <v>16</v>
      </c>
      <c r="B282" s="0" t="s">
        <v>3706</v>
      </c>
      <c r="C282" s="0" t="s">
        <v>3707</v>
      </c>
      <c r="D282" s="0" t="s">
        <v>3757</v>
      </c>
      <c r="E282" s="0" t="s">
        <v>3758</v>
      </c>
      <c r="F282" s="0" t="s">
        <v>3114</v>
      </c>
      <c r="G282" s="0" t="s">
        <v>3759</v>
      </c>
    </row>
    <row customHeight="1" ht="11.25">
      <c r="A283" s="373" t="s">
        <v>16</v>
      </c>
      <c r="B283" s="0" t="s">
        <v>3760</v>
      </c>
      <c r="C283" s="0" t="s">
        <v>3761</v>
      </c>
      <c r="D283" s="0" t="s">
        <v>3762</v>
      </c>
      <c r="E283" s="0" t="s">
        <v>3763</v>
      </c>
      <c r="F283" s="0" t="s">
        <v>2989</v>
      </c>
      <c r="G283" s="0" t="s">
        <v>3764</v>
      </c>
    </row>
    <row customHeight="1" ht="11.25">
      <c r="A284" s="373" t="s">
        <v>16</v>
      </c>
      <c r="B284" s="0" t="s">
        <v>3760</v>
      </c>
      <c r="C284" s="0" t="s">
        <v>3761</v>
      </c>
      <c r="D284" s="0" t="s">
        <v>3765</v>
      </c>
      <c r="E284" s="0" t="s">
        <v>3766</v>
      </c>
      <c r="F284" s="0" t="s">
        <v>2989</v>
      </c>
      <c r="G284" s="0" t="s">
        <v>3767</v>
      </c>
    </row>
    <row customHeight="1" ht="11.25">
      <c r="A285" s="373" t="s">
        <v>16</v>
      </c>
      <c r="B285" s="0" t="s">
        <v>3760</v>
      </c>
      <c r="C285" s="0" t="s">
        <v>3761</v>
      </c>
      <c r="D285" s="0" t="s">
        <v>3768</v>
      </c>
      <c r="E285" s="0" t="s">
        <v>3769</v>
      </c>
      <c r="F285" s="0" t="s">
        <v>2989</v>
      </c>
      <c r="G285" s="0" t="s">
        <v>3770</v>
      </c>
    </row>
    <row customHeight="1" ht="11.25">
      <c r="A286" s="373" t="s">
        <v>16</v>
      </c>
      <c r="B286" s="0" t="s">
        <v>3760</v>
      </c>
      <c r="C286" s="0" t="s">
        <v>3761</v>
      </c>
      <c r="D286" s="0" t="s">
        <v>3218</v>
      </c>
      <c r="E286" s="0" t="s">
        <v>3771</v>
      </c>
      <c r="F286" s="0" t="s">
        <v>2989</v>
      </c>
      <c r="G286" s="0" t="s">
        <v>3772</v>
      </c>
    </row>
    <row customHeight="1" ht="11.25">
      <c r="A287" s="373" t="s">
        <v>16</v>
      </c>
      <c r="B287" s="0" t="s">
        <v>3760</v>
      </c>
      <c r="C287" s="0" t="s">
        <v>3761</v>
      </c>
      <c r="D287" s="0" t="s">
        <v>3773</v>
      </c>
      <c r="E287" s="0" t="s">
        <v>3774</v>
      </c>
      <c r="F287" s="0" t="s">
        <v>2989</v>
      </c>
      <c r="G287" s="0" t="s">
        <v>3775</v>
      </c>
    </row>
    <row customHeight="1" ht="11.25">
      <c r="A288" s="373" t="s">
        <v>16</v>
      </c>
      <c r="B288" s="0" t="s">
        <v>3760</v>
      </c>
      <c r="C288" s="0" t="s">
        <v>3761</v>
      </c>
      <c r="D288" s="0" t="s">
        <v>3776</v>
      </c>
      <c r="E288" s="0" t="s">
        <v>3777</v>
      </c>
      <c r="F288" s="0" t="s">
        <v>2989</v>
      </c>
      <c r="G288" s="0" t="s">
        <v>3778</v>
      </c>
    </row>
    <row customHeight="1" ht="11.25">
      <c r="A289" s="373" t="s">
        <v>16</v>
      </c>
      <c r="B289" s="0" t="s">
        <v>3760</v>
      </c>
      <c r="C289" s="0" t="s">
        <v>3761</v>
      </c>
      <c r="D289" s="0" t="s">
        <v>3760</v>
      </c>
      <c r="E289" s="0" t="s">
        <v>3761</v>
      </c>
      <c r="F289" s="0" t="s">
        <v>2990</v>
      </c>
      <c r="G289" s="0" t="s">
        <v>3779</v>
      </c>
    </row>
    <row customHeight="1" ht="11.25">
      <c r="A290" s="373" t="s">
        <v>16</v>
      </c>
      <c r="B290" s="0" t="s">
        <v>3760</v>
      </c>
      <c r="C290" s="0" t="s">
        <v>3761</v>
      </c>
      <c r="D290" s="0" t="s">
        <v>3780</v>
      </c>
      <c r="E290" s="0" t="s">
        <v>3781</v>
      </c>
      <c r="F290" s="0" t="s">
        <v>2989</v>
      </c>
      <c r="G290" s="0" t="s">
        <v>3782</v>
      </c>
    </row>
    <row customHeight="1" ht="11.25">
      <c r="A291" s="373" t="s">
        <v>16</v>
      </c>
      <c r="B291" s="0" t="s">
        <v>3760</v>
      </c>
      <c r="C291" s="0" t="s">
        <v>3761</v>
      </c>
      <c r="D291" s="0" t="s">
        <v>3227</v>
      </c>
      <c r="E291" s="0" t="s">
        <v>3783</v>
      </c>
      <c r="F291" s="0" t="s">
        <v>2989</v>
      </c>
      <c r="G291" s="0" t="s">
        <v>3784</v>
      </c>
    </row>
    <row customHeight="1" ht="11.25">
      <c r="A292" s="373" t="s">
        <v>16</v>
      </c>
      <c r="B292" s="0" t="s">
        <v>3760</v>
      </c>
      <c r="C292" s="0" t="s">
        <v>3761</v>
      </c>
      <c r="D292" s="0" t="s">
        <v>3785</v>
      </c>
      <c r="E292" s="0" t="s">
        <v>3786</v>
      </c>
      <c r="F292" s="0" t="s">
        <v>3059</v>
      </c>
      <c r="G292" s="0" t="s">
        <v>3787</v>
      </c>
    </row>
    <row customHeight="1" ht="11.25">
      <c r="A293" s="373" t="s">
        <v>16</v>
      </c>
      <c r="B293" s="0" t="s">
        <v>3788</v>
      </c>
      <c r="C293" s="0" t="s">
        <v>3789</v>
      </c>
      <c r="D293" s="0" t="s">
        <v>3790</v>
      </c>
      <c r="E293" s="0" t="s">
        <v>3791</v>
      </c>
      <c r="F293" s="0" t="s">
        <v>2989</v>
      </c>
      <c r="G293" s="0" t="s">
        <v>3792</v>
      </c>
    </row>
    <row customHeight="1" ht="11.25">
      <c r="A294" s="373" t="s">
        <v>16</v>
      </c>
      <c r="B294" s="0" t="s">
        <v>3788</v>
      </c>
      <c r="C294" s="0" t="s">
        <v>3789</v>
      </c>
      <c r="D294" s="0" t="s">
        <v>3793</v>
      </c>
      <c r="E294" s="0" t="s">
        <v>3794</v>
      </c>
      <c r="F294" s="0" t="s">
        <v>2989</v>
      </c>
      <c r="G294" s="0" t="s">
        <v>3795</v>
      </c>
    </row>
    <row customHeight="1" ht="11.25">
      <c r="A295" s="373" t="s">
        <v>16</v>
      </c>
      <c r="B295" s="0" t="s">
        <v>3788</v>
      </c>
      <c r="C295" s="0" t="s">
        <v>3789</v>
      </c>
      <c r="D295" s="0" t="s">
        <v>3796</v>
      </c>
      <c r="E295" s="0" t="s">
        <v>3797</v>
      </c>
      <c r="F295" s="0" t="s">
        <v>2989</v>
      </c>
      <c r="G295" s="0" t="s">
        <v>3798</v>
      </c>
    </row>
    <row customHeight="1" ht="11.25">
      <c r="A296" s="373" t="s">
        <v>16</v>
      </c>
      <c r="B296" s="0" t="s">
        <v>3788</v>
      </c>
      <c r="C296" s="0" t="s">
        <v>3789</v>
      </c>
      <c r="D296" s="0" t="s">
        <v>3799</v>
      </c>
      <c r="E296" s="0" t="s">
        <v>3800</v>
      </c>
      <c r="F296" s="0" t="s">
        <v>2989</v>
      </c>
      <c r="G296" s="0" t="s">
        <v>3801</v>
      </c>
    </row>
    <row customHeight="1" ht="11.25">
      <c r="A297" s="373" t="s">
        <v>16</v>
      </c>
      <c r="B297" s="0" t="s">
        <v>3788</v>
      </c>
      <c r="C297" s="0" t="s">
        <v>3789</v>
      </c>
      <c r="D297" s="0" t="s">
        <v>3802</v>
      </c>
      <c r="E297" s="0" t="s">
        <v>3803</v>
      </c>
      <c r="F297" s="0" t="s">
        <v>2989</v>
      </c>
      <c r="G297" s="0" t="s">
        <v>3804</v>
      </c>
    </row>
    <row customHeight="1" ht="11.25">
      <c r="A298" s="373" t="s">
        <v>16</v>
      </c>
      <c r="B298" s="0" t="s">
        <v>3788</v>
      </c>
      <c r="C298" s="0" t="s">
        <v>3789</v>
      </c>
      <c r="D298" s="0" t="s">
        <v>3805</v>
      </c>
      <c r="E298" s="0" t="s">
        <v>3806</v>
      </c>
      <c r="F298" s="0" t="s">
        <v>2989</v>
      </c>
      <c r="G298" s="0" t="s">
        <v>3807</v>
      </c>
    </row>
    <row customHeight="1" ht="11.25">
      <c r="A299" s="373" t="s">
        <v>16</v>
      </c>
      <c r="B299" s="0" t="s">
        <v>3788</v>
      </c>
      <c r="C299" s="0" t="s">
        <v>3789</v>
      </c>
      <c r="D299" s="0" t="s">
        <v>3808</v>
      </c>
      <c r="E299" s="0" t="s">
        <v>3809</v>
      </c>
      <c r="F299" s="0" t="s">
        <v>2989</v>
      </c>
      <c r="G299" s="0" t="s">
        <v>3810</v>
      </c>
    </row>
    <row customHeight="1" ht="11.25">
      <c r="A300" s="373" t="s">
        <v>16</v>
      </c>
      <c r="B300" s="0" t="s">
        <v>3788</v>
      </c>
      <c r="C300" s="0" t="s">
        <v>3789</v>
      </c>
      <c r="D300" s="0" t="s">
        <v>3811</v>
      </c>
      <c r="E300" s="0" t="s">
        <v>3812</v>
      </c>
      <c r="F300" s="0" t="s">
        <v>2989</v>
      </c>
      <c r="G300" s="0" t="s">
        <v>3813</v>
      </c>
    </row>
    <row customHeight="1" ht="11.25">
      <c r="A301" s="373" t="s">
        <v>16</v>
      </c>
      <c r="B301" s="0" t="s">
        <v>3788</v>
      </c>
      <c r="C301" s="0" t="s">
        <v>3789</v>
      </c>
      <c r="D301" s="0" t="s">
        <v>3814</v>
      </c>
      <c r="E301" s="0" t="s">
        <v>3815</v>
      </c>
      <c r="F301" s="0" t="s">
        <v>2989</v>
      </c>
      <c r="G301" s="0" t="s">
        <v>3816</v>
      </c>
    </row>
    <row customHeight="1" ht="11.25">
      <c r="A302" s="373" t="s">
        <v>16</v>
      </c>
      <c r="B302" s="0" t="s">
        <v>3788</v>
      </c>
      <c r="C302" s="0" t="s">
        <v>3789</v>
      </c>
      <c r="D302" s="0" t="s">
        <v>3080</v>
      </c>
      <c r="E302" s="0" t="s">
        <v>3817</v>
      </c>
      <c r="F302" s="0" t="s">
        <v>2989</v>
      </c>
      <c r="G302" s="0" t="s">
        <v>3818</v>
      </c>
    </row>
    <row customHeight="1" ht="11.25">
      <c r="A303" s="373" t="s">
        <v>16</v>
      </c>
      <c r="B303" s="0" t="s">
        <v>3788</v>
      </c>
      <c r="C303" s="0" t="s">
        <v>3789</v>
      </c>
      <c r="D303" s="0" t="s">
        <v>3788</v>
      </c>
      <c r="E303" s="0" t="s">
        <v>3789</v>
      </c>
      <c r="F303" s="0" t="s">
        <v>2990</v>
      </c>
      <c r="G303" s="0" t="s">
        <v>3819</v>
      </c>
    </row>
    <row customHeight="1" ht="11.25">
      <c r="A304" s="373" t="s">
        <v>16</v>
      </c>
      <c r="B304" s="0" t="s">
        <v>3788</v>
      </c>
      <c r="C304" s="0" t="s">
        <v>3789</v>
      </c>
      <c r="D304" s="0" t="s">
        <v>3820</v>
      </c>
      <c r="E304" s="0" t="s">
        <v>3821</v>
      </c>
      <c r="F304" s="0" t="s">
        <v>3114</v>
      </c>
      <c r="G304" s="0" t="s">
        <v>3822</v>
      </c>
    </row>
    <row customHeight="1" ht="11.25">
      <c r="A305" s="373" t="s">
        <v>16</v>
      </c>
      <c r="B305" s="0" t="s">
        <v>3823</v>
      </c>
      <c r="C305" s="0" t="s">
        <v>3824</v>
      </c>
      <c r="D305" s="0" t="s">
        <v>3825</v>
      </c>
      <c r="E305" s="0" t="s">
        <v>3826</v>
      </c>
      <c r="F305" s="0" t="s">
        <v>2989</v>
      </c>
      <c r="G305" s="0" t="s">
        <v>3827</v>
      </c>
    </row>
    <row customHeight="1" ht="11.25">
      <c r="A306" s="373" t="s">
        <v>16</v>
      </c>
      <c r="B306" s="0" t="s">
        <v>3823</v>
      </c>
      <c r="C306" s="0" t="s">
        <v>3824</v>
      </c>
      <c r="D306" s="0" t="s">
        <v>3828</v>
      </c>
      <c r="E306" s="0" t="s">
        <v>3829</v>
      </c>
      <c r="F306" s="0" t="s">
        <v>2989</v>
      </c>
      <c r="G306" s="0" t="s">
        <v>3830</v>
      </c>
    </row>
    <row customHeight="1" ht="11.25">
      <c r="A307" s="373" t="s">
        <v>16</v>
      </c>
      <c r="B307" s="0" t="s">
        <v>3823</v>
      </c>
      <c r="C307" s="0" t="s">
        <v>3824</v>
      </c>
      <c r="D307" s="0" t="s">
        <v>3831</v>
      </c>
      <c r="E307" s="0" t="s">
        <v>3832</v>
      </c>
      <c r="F307" s="0" t="s">
        <v>2989</v>
      </c>
      <c r="G307" s="0" t="s">
        <v>3833</v>
      </c>
    </row>
    <row customHeight="1" ht="11.25">
      <c r="A308" s="373" t="s">
        <v>16</v>
      </c>
      <c r="B308" s="0" t="s">
        <v>3823</v>
      </c>
      <c r="C308" s="0" t="s">
        <v>3824</v>
      </c>
      <c r="D308" s="0" t="s">
        <v>3834</v>
      </c>
      <c r="E308" s="0" t="s">
        <v>3835</v>
      </c>
      <c r="F308" s="0" t="s">
        <v>2989</v>
      </c>
      <c r="G308" s="0" t="s">
        <v>3836</v>
      </c>
    </row>
    <row customHeight="1" ht="11.25">
      <c r="A309" s="373" t="s">
        <v>16</v>
      </c>
      <c r="B309" s="0" t="s">
        <v>3823</v>
      </c>
      <c r="C309" s="0" t="s">
        <v>3824</v>
      </c>
      <c r="D309" s="0" t="s">
        <v>3837</v>
      </c>
      <c r="E309" s="0" t="s">
        <v>3838</v>
      </c>
      <c r="F309" s="0" t="s">
        <v>2989</v>
      </c>
      <c r="G309" s="0" t="s">
        <v>3839</v>
      </c>
    </row>
    <row customHeight="1" ht="11.25">
      <c r="A310" s="373" t="s">
        <v>16</v>
      </c>
      <c r="B310" s="0" t="s">
        <v>3823</v>
      </c>
      <c r="C310" s="0" t="s">
        <v>3824</v>
      </c>
      <c r="D310" s="0" t="s">
        <v>3840</v>
      </c>
      <c r="E310" s="0" t="s">
        <v>3841</v>
      </c>
      <c r="F310" s="0" t="s">
        <v>2989</v>
      </c>
      <c r="G310" s="0" t="s">
        <v>3842</v>
      </c>
    </row>
    <row customHeight="1" ht="11.25">
      <c r="A311" s="373" t="s">
        <v>16</v>
      </c>
      <c r="B311" s="0" t="s">
        <v>3823</v>
      </c>
      <c r="C311" s="0" t="s">
        <v>3824</v>
      </c>
      <c r="D311" s="0" t="s">
        <v>3843</v>
      </c>
      <c r="E311" s="0" t="s">
        <v>3844</v>
      </c>
      <c r="F311" s="0" t="s">
        <v>2989</v>
      </c>
      <c r="G311" s="0" t="s">
        <v>3845</v>
      </c>
    </row>
    <row customHeight="1" ht="11.25">
      <c r="A312" s="373" t="s">
        <v>16</v>
      </c>
      <c r="B312" s="0" t="s">
        <v>3823</v>
      </c>
      <c r="C312" s="0" t="s">
        <v>3824</v>
      </c>
      <c r="D312" s="0" t="s">
        <v>3846</v>
      </c>
      <c r="E312" s="0" t="s">
        <v>3847</v>
      </c>
      <c r="F312" s="0" t="s">
        <v>2989</v>
      </c>
      <c r="G312" s="0" t="s">
        <v>3848</v>
      </c>
    </row>
    <row customHeight="1" ht="11.25">
      <c r="A313" s="373" t="s">
        <v>16</v>
      </c>
      <c r="B313" s="0" t="s">
        <v>3823</v>
      </c>
      <c r="C313" s="0" t="s">
        <v>3824</v>
      </c>
      <c r="D313" s="0" t="s">
        <v>3823</v>
      </c>
      <c r="E313" s="0" t="s">
        <v>3824</v>
      </c>
      <c r="F313" s="0" t="s">
        <v>2990</v>
      </c>
      <c r="G313" s="0" t="s">
        <v>3849</v>
      </c>
    </row>
    <row customHeight="1" ht="11.25">
      <c r="A314" s="373" t="s">
        <v>16</v>
      </c>
      <c r="B314" s="0" t="s">
        <v>3823</v>
      </c>
      <c r="C314" s="0" t="s">
        <v>3824</v>
      </c>
      <c r="D314" s="0" t="s">
        <v>3850</v>
      </c>
      <c r="E314" s="0" t="s">
        <v>3851</v>
      </c>
      <c r="F314" s="0" t="s">
        <v>3059</v>
      </c>
      <c r="G314" s="0" t="s">
        <v>3852</v>
      </c>
    </row>
    <row customHeight="1" ht="11.25">
      <c r="A315" s="373" t="s">
        <v>16</v>
      </c>
      <c r="B315" s="0" t="s">
        <v>3853</v>
      </c>
      <c r="C315" s="0" t="s">
        <v>3854</v>
      </c>
      <c r="D315" s="0" t="s">
        <v>3855</v>
      </c>
      <c r="E315" s="0" t="s">
        <v>3856</v>
      </c>
      <c r="F315" s="0" t="s">
        <v>2989</v>
      </c>
      <c r="G315" s="0" t="s">
        <v>3857</v>
      </c>
    </row>
    <row customHeight="1" ht="11.25">
      <c r="A316" s="373" t="s">
        <v>16</v>
      </c>
      <c r="B316" s="0" t="s">
        <v>3853</v>
      </c>
      <c r="C316" s="0" t="s">
        <v>3854</v>
      </c>
      <c r="D316" s="0" t="s">
        <v>3135</v>
      </c>
      <c r="E316" s="0" t="s">
        <v>3858</v>
      </c>
      <c r="F316" s="0" t="s">
        <v>2989</v>
      </c>
      <c r="G316" s="0" t="s">
        <v>3859</v>
      </c>
    </row>
    <row customHeight="1" ht="11.25">
      <c r="A317" s="373" t="s">
        <v>16</v>
      </c>
      <c r="B317" s="0" t="s">
        <v>3853</v>
      </c>
      <c r="C317" s="0" t="s">
        <v>3854</v>
      </c>
      <c r="D317" s="0" t="s">
        <v>3860</v>
      </c>
      <c r="E317" s="0" t="s">
        <v>3861</v>
      </c>
      <c r="F317" s="0" t="s">
        <v>2989</v>
      </c>
      <c r="G317" s="0" t="s">
        <v>3862</v>
      </c>
    </row>
    <row customHeight="1" ht="11.25">
      <c r="A318" s="373" t="s">
        <v>16</v>
      </c>
      <c r="B318" s="0" t="s">
        <v>3853</v>
      </c>
      <c r="C318" s="0" t="s">
        <v>3854</v>
      </c>
      <c r="D318" s="0" t="s">
        <v>3837</v>
      </c>
      <c r="E318" s="0" t="s">
        <v>3863</v>
      </c>
      <c r="F318" s="0" t="s">
        <v>2989</v>
      </c>
      <c r="G318" s="0" t="s">
        <v>3864</v>
      </c>
    </row>
    <row customHeight="1" ht="11.25">
      <c r="A319" s="373" t="s">
        <v>16</v>
      </c>
      <c r="B319" s="0" t="s">
        <v>3853</v>
      </c>
      <c r="C319" s="0" t="s">
        <v>3854</v>
      </c>
      <c r="D319" s="0" t="s">
        <v>3865</v>
      </c>
      <c r="E319" s="0" t="s">
        <v>3866</v>
      </c>
      <c r="F319" s="0" t="s">
        <v>2989</v>
      </c>
      <c r="G319" s="0" t="s">
        <v>3867</v>
      </c>
    </row>
    <row customHeight="1" ht="11.25">
      <c r="A320" s="373" t="s">
        <v>16</v>
      </c>
      <c r="B320" s="0" t="s">
        <v>3853</v>
      </c>
      <c r="C320" s="0" t="s">
        <v>3854</v>
      </c>
      <c r="D320" s="0" t="s">
        <v>3814</v>
      </c>
      <c r="E320" s="0" t="s">
        <v>3868</v>
      </c>
      <c r="F320" s="0" t="s">
        <v>2989</v>
      </c>
      <c r="G320" s="0" t="s">
        <v>3869</v>
      </c>
    </row>
    <row customHeight="1" ht="11.25">
      <c r="A321" s="373" t="s">
        <v>16</v>
      </c>
      <c r="B321" s="0" t="s">
        <v>3853</v>
      </c>
      <c r="C321" s="0" t="s">
        <v>3854</v>
      </c>
      <c r="D321" s="0" t="s">
        <v>3870</v>
      </c>
      <c r="E321" s="0" t="s">
        <v>3871</v>
      </c>
      <c r="F321" s="0" t="s">
        <v>2989</v>
      </c>
      <c r="G321" s="0" t="s">
        <v>3872</v>
      </c>
    </row>
    <row customHeight="1" ht="11.25">
      <c r="A322" s="373" t="s">
        <v>16</v>
      </c>
      <c r="B322" s="0" t="s">
        <v>3853</v>
      </c>
      <c r="C322" s="0" t="s">
        <v>3854</v>
      </c>
      <c r="D322" s="0" t="s">
        <v>3873</v>
      </c>
      <c r="E322" s="0" t="s">
        <v>3874</v>
      </c>
      <c r="F322" s="0" t="s">
        <v>2989</v>
      </c>
      <c r="G322" s="0" t="s">
        <v>3875</v>
      </c>
    </row>
    <row customHeight="1" ht="11.25">
      <c r="A323" s="373" t="s">
        <v>16</v>
      </c>
      <c r="B323" s="0" t="s">
        <v>3853</v>
      </c>
      <c r="C323" s="0" t="s">
        <v>3854</v>
      </c>
      <c r="D323" s="0" t="s">
        <v>3853</v>
      </c>
      <c r="E323" s="0" t="s">
        <v>3854</v>
      </c>
      <c r="F323" s="0" t="s">
        <v>2990</v>
      </c>
      <c r="G323" s="0" t="s">
        <v>3876</v>
      </c>
    </row>
    <row customHeight="1" ht="11.25">
      <c r="A324" s="373" t="s">
        <v>16</v>
      </c>
      <c r="B324" s="0" t="s">
        <v>3853</v>
      </c>
      <c r="C324" s="0" t="s">
        <v>3854</v>
      </c>
      <c r="D324" s="0" t="s">
        <v>3877</v>
      </c>
      <c r="E324" s="0" t="s">
        <v>3878</v>
      </c>
      <c r="F324" s="0" t="s">
        <v>3059</v>
      </c>
      <c r="G324" s="0" t="s">
        <v>3879</v>
      </c>
    </row>
    <row customHeight="1" ht="11.25">
      <c r="A325" s="373" t="s">
        <v>16</v>
      </c>
      <c r="B325" s="0" t="s">
        <v>3880</v>
      </c>
      <c r="C325" s="0" t="s">
        <v>3881</v>
      </c>
      <c r="D325" s="0" t="s">
        <v>3882</v>
      </c>
      <c r="E325" s="0" t="s">
        <v>3883</v>
      </c>
      <c r="F325" s="0" t="s">
        <v>2989</v>
      </c>
      <c r="G325" s="0" t="s">
        <v>3884</v>
      </c>
    </row>
    <row customHeight="1" ht="11.25">
      <c r="A326" s="373" t="s">
        <v>16</v>
      </c>
      <c r="B326" s="0" t="s">
        <v>3880</v>
      </c>
      <c r="C326" s="0" t="s">
        <v>3881</v>
      </c>
      <c r="D326" s="0" t="s">
        <v>2995</v>
      </c>
      <c r="E326" s="0" t="s">
        <v>3885</v>
      </c>
      <c r="F326" s="0" t="s">
        <v>2989</v>
      </c>
      <c r="G326" s="0" t="s">
        <v>3886</v>
      </c>
    </row>
    <row customHeight="1" ht="11.25">
      <c r="A327" s="373" t="s">
        <v>16</v>
      </c>
      <c r="B327" s="0" t="s">
        <v>3880</v>
      </c>
      <c r="C327" s="0" t="s">
        <v>3881</v>
      </c>
      <c r="D327" s="0" t="s">
        <v>3887</v>
      </c>
      <c r="E327" s="0" t="s">
        <v>3888</v>
      </c>
      <c r="F327" s="0" t="s">
        <v>2989</v>
      </c>
      <c r="G327" s="0" t="s">
        <v>3889</v>
      </c>
    </row>
    <row customHeight="1" ht="11.25">
      <c r="A328" s="373" t="s">
        <v>16</v>
      </c>
      <c r="B328" s="0" t="s">
        <v>3880</v>
      </c>
      <c r="C328" s="0" t="s">
        <v>3881</v>
      </c>
      <c r="D328" s="0" t="s">
        <v>3890</v>
      </c>
      <c r="E328" s="0" t="s">
        <v>3891</v>
      </c>
      <c r="F328" s="0" t="s">
        <v>2989</v>
      </c>
      <c r="G328" s="0" t="s">
        <v>3892</v>
      </c>
    </row>
    <row customHeight="1" ht="11.25">
      <c r="A329" s="373" t="s">
        <v>16</v>
      </c>
      <c r="B329" s="0" t="s">
        <v>3880</v>
      </c>
      <c r="C329" s="0" t="s">
        <v>3881</v>
      </c>
      <c r="D329" s="0" t="s">
        <v>3893</v>
      </c>
      <c r="E329" s="0" t="s">
        <v>3894</v>
      </c>
      <c r="F329" s="0" t="s">
        <v>2989</v>
      </c>
      <c r="G329" s="0" t="s">
        <v>3895</v>
      </c>
    </row>
    <row customHeight="1" ht="11.25">
      <c r="A330" s="373" t="s">
        <v>16</v>
      </c>
      <c r="B330" s="0" t="s">
        <v>3880</v>
      </c>
      <c r="C330" s="0" t="s">
        <v>3881</v>
      </c>
      <c r="D330" s="0" t="s">
        <v>3068</v>
      </c>
      <c r="E330" s="0" t="s">
        <v>3896</v>
      </c>
      <c r="F330" s="0" t="s">
        <v>2989</v>
      </c>
      <c r="G330" s="0" t="s">
        <v>3897</v>
      </c>
    </row>
    <row customHeight="1" ht="11.25">
      <c r="A331" s="373" t="s">
        <v>16</v>
      </c>
      <c r="B331" s="0" t="s">
        <v>3880</v>
      </c>
      <c r="C331" s="0" t="s">
        <v>3881</v>
      </c>
      <c r="D331" s="0" t="s">
        <v>3898</v>
      </c>
      <c r="E331" s="0" t="s">
        <v>3899</v>
      </c>
      <c r="F331" s="0" t="s">
        <v>2989</v>
      </c>
      <c r="G331" s="0" t="s">
        <v>3900</v>
      </c>
    </row>
    <row customHeight="1" ht="11.25">
      <c r="A332" s="373" t="s">
        <v>16</v>
      </c>
      <c r="B332" s="0" t="s">
        <v>3880</v>
      </c>
      <c r="C332" s="0" t="s">
        <v>3881</v>
      </c>
      <c r="D332" s="0" t="s">
        <v>3901</v>
      </c>
      <c r="E332" s="0" t="s">
        <v>3902</v>
      </c>
      <c r="F332" s="0" t="s">
        <v>2989</v>
      </c>
      <c r="G332" s="0" t="s">
        <v>3903</v>
      </c>
    </row>
    <row customHeight="1" ht="11.25">
      <c r="A333" s="373" t="s">
        <v>16</v>
      </c>
      <c r="B333" s="0" t="s">
        <v>3880</v>
      </c>
      <c r="C333" s="0" t="s">
        <v>3881</v>
      </c>
      <c r="D333" s="0" t="s">
        <v>3904</v>
      </c>
      <c r="E333" s="0" t="s">
        <v>3905</v>
      </c>
      <c r="F333" s="0" t="s">
        <v>2989</v>
      </c>
      <c r="G333" s="0" t="s">
        <v>3906</v>
      </c>
    </row>
    <row customHeight="1" ht="11.25">
      <c r="A334" s="373" t="s">
        <v>16</v>
      </c>
      <c r="B334" s="0" t="s">
        <v>3880</v>
      </c>
      <c r="C334" s="0" t="s">
        <v>3881</v>
      </c>
      <c r="D334" s="0" t="s">
        <v>3907</v>
      </c>
      <c r="E334" s="0" t="s">
        <v>3908</v>
      </c>
      <c r="F334" s="0" t="s">
        <v>2989</v>
      </c>
      <c r="G334" s="0" t="s">
        <v>3909</v>
      </c>
    </row>
    <row customHeight="1" ht="11.25">
      <c r="A335" s="373" t="s">
        <v>16</v>
      </c>
      <c r="B335" s="0" t="s">
        <v>3880</v>
      </c>
      <c r="C335" s="0" t="s">
        <v>3881</v>
      </c>
      <c r="D335" s="0" t="s">
        <v>3910</v>
      </c>
      <c r="E335" s="0" t="s">
        <v>3911</v>
      </c>
      <c r="F335" s="0" t="s">
        <v>2989</v>
      </c>
      <c r="G335" s="0" t="s">
        <v>3912</v>
      </c>
    </row>
    <row customHeight="1" ht="11.25">
      <c r="A336" s="373" t="s">
        <v>16</v>
      </c>
      <c r="B336" s="0" t="s">
        <v>3880</v>
      </c>
      <c r="C336" s="0" t="s">
        <v>3881</v>
      </c>
      <c r="D336" s="0" t="s">
        <v>3076</v>
      </c>
      <c r="E336" s="0" t="s">
        <v>3913</v>
      </c>
      <c r="F336" s="0" t="s">
        <v>2989</v>
      </c>
      <c r="G336" s="0" t="s">
        <v>3914</v>
      </c>
    </row>
    <row customHeight="1" ht="11.25">
      <c r="A337" s="373" t="s">
        <v>16</v>
      </c>
      <c r="B337" s="0" t="s">
        <v>3880</v>
      </c>
      <c r="C337" s="0" t="s">
        <v>3881</v>
      </c>
      <c r="D337" s="0" t="s">
        <v>3915</v>
      </c>
      <c r="E337" s="0" t="s">
        <v>3916</v>
      </c>
      <c r="F337" s="0" t="s">
        <v>2989</v>
      </c>
      <c r="G337" s="0" t="s">
        <v>3917</v>
      </c>
    </row>
    <row customHeight="1" ht="11.25">
      <c r="A338" s="373" t="s">
        <v>16</v>
      </c>
      <c r="B338" s="0" t="s">
        <v>3880</v>
      </c>
      <c r="C338" s="0" t="s">
        <v>3881</v>
      </c>
      <c r="D338" s="0" t="s">
        <v>3918</v>
      </c>
      <c r="E338" s="0" t="s">
        <v>3919</v>
      </c>
      <c r="F338" s="0" t="s">
        <v>2989</v>
      </c>
      <c r="G338" s="0" t="s">
        <v>3920</v>
      </c>
    </row>
    <row customHeight="1" ht="11.25">
      <c r="A339" s="373" t="s">
        <v>16</v>
      </c>
      <c r="B339" s="0" t="s">
        <v>3880</v>
      </c>
      <c r="C339" s="0" t="s">
        <v>3881</v>
      </c>
      <c r="D339" s="0" t="s">
        <v>3638</v>
      </c>
      <c r="E339" s="0" t="s">
        <v>3921</v>
      </c>
      <c r="F339" s="0" t="s">
        <v>2989</v>
      </c>
      <c r="G339" s="0" t="s">
        <v>3922</v>
      </c>
    </row>
    <row customHeight="1" ht="11.25">
      <c r="A340" s="373" t="s">
        <v>16</v>
      </c>
      <c r="B340" s="0" t="s">
        <v>3880</v>
      </c>
      <c r="C340" s="0" t="s">
        <v>3881</v>
      </c>
      <c r="D340" s="0" t="s">
        <v>3923</v>
      </c>
      <c r="E340" s="0" t="s">
        <v>3924</v>
      </c>
      <c r="F340" s="0" t="s">
        <v>2989</v>
      </c>
      <c r="G340" s="0" t="s">
        <v>3925</v>
      </c>
    </row>
    <row customHeight="1" ht="11.25">
      <c r="A341" s="373" t="s">
        <v>16</v>
      </c>
      <c r="B341" s="0" t="s">
        <v>3880</v>
      </c>
      <c r="C341" s="0" t="s">
        <v>3881</v>
      </c>
      <c r="D341" s="0" t="s">
        <v>3926</v>
      </c>
      <c r="E341" s="0" t="s">
        <v>3927</v>
      </c>
      <c r="F341" s="0" t="s">
        <v>2989</v>
      </c>
      <c r="G341" s="0" t="s">
        <v>3928</v>
      </c>
    </row>
    <row customHeight="1" ht="11.25">
      <c r="A342" s="373" t="s">
        <v>16</v>
      </c>
      <c r="B342" s="0" t="s">
        <v>3880</v>
      </c>
      <c r="C342" s="0" t="s">
        <v>3881</v>
      </c>
      <c r="D342" s="0" t="s">
        <v>3929</v>
      </c>
      <c r="E342" s="0" t="s">
        <v>3930</v>
      </c>
      <c r="F342" s="0" t="s">
        <v>2989</v>
      </c>
      <c r="G342" s="0" t="s">
        <v>3931</v>
      </c>
    </row>
    <row customHeight="1" ht="11.25">
      <c r="A343" s="373" t="s">
        <v>16</v>
      </c>
      <c r="B343" s="0" t="s">
        <v>3880</v>
      </c>
      <c r="C343" s="0" t="s">
        <v>3881</v>
      </c>
      <c r="D343" s="0" t="s">
        <v>3880</v>
      </c>
      <c r="E343" s="0" t="s">
        <v>3881</v>
      </c>
      <c r="F343" s="0" t="s">
        <v>2990</v>
      </c>
      <c r="G343" s="0" t="s">
        <v>3932</v>
      </c>
    </row>
    <row customHeight="1" ht="11.25">
      <c r="A344" s="373" t="s">
        <v>16</v>
      </c>
      <c r="B344" s="0" t="s">
        <v>3933</v>
      </c>
      <c r="C344" s="0" t="s">
        <v>3934</v>
      </c>
      <c r="D344" s="0" t="s">
        <v>3933</v>
      </c>
      <c r="E344" s="0" t="s">
        <v>3934</v>
      </c>
      <c r="F344" s="0" t="s">
        <v>3935</v>
      </c>
      <c r="G344" s="0" t="s">
        <v>3936</v>
      </c>
    </row>
    <row customHeight="1" ht="11.25">
      <c r="A345" s="373" t="s">
        <v>16</v>
      </c>
      <c r="B345" s="0" t="s">
        <v>104</v>
      </c>
      <c r="C345" s="0" t="s">
        <v>105</v>
      </c>
      <c r="D345" s="0" t="s">
        <v>104</v>
      </c>
      <c r="E345" s="0" t="s">
        <v>105</v>
      </c>
      <c r="F345" s="0" t="s">
        <v>3935</v>
      </c>
      <c r="G345" s="0" t="s">
        <v>103</v>
      </c>
    </row>
    <row customHeight="1" ht="11.25">
      <c r="A346" s="373" t="s">
        <v>16</v>
      </c>
      <c r="B346" s="0" t="s">
        <v>3937</v>
      </c>
      <c r="C346" s="0" t="s">
        <v>3938</v>
      </c>
      <c r="D346" s="0" t="s">
        <v>3937</v>
      </c>
      <c r="E346" s="0" t="s">
        <v>3938</v>
      </c>
      <c r="F346" s="0" t="s">
        <v>3935</v>
      </c>
      <c r="G346" s="0" t="s">
        <v>3939</v>
      </c>
    </row>
    <row customHeight="1" ht="11.25">
      <c r="A347" s="373" t="s">
        <v>16</v>
      </c>
      <c r="B347" s="0" t="s">
        <v>3940</v>
      </c>
      <c r="C347" s="0" t="s">
        <v>3941</v>
      </c>
      <c r="D347" s="0" t="s">
        <v>3940</v>
      </c>
      <c r="E347" s="0" t="s">
        <v>3941</v>
      </c>
      <c r="F347" s="0" t="s">
        <v>3935</v>
      </c>
      <c r="G347" s="0" t="s">
        <v>3942</v>
      </c>
    </row>
    <row customHeight="1" ht="11.25">
      <c r="A348" s="373" t="s">
        <v>16</v>
      </c>
      <c r="B348" s="0" t="s">
        <v>3943</v>
      </c>
      <c r="C348" s="0" t="s">
        <v>3944</v>
      </c>
      <c r="D348" s="0" t="s">
        <v>3943</v>
      </c>
      <c r="E348" s="0" t="s">
        <v>3944</v>
      </c>
      <c r="F348" s="0" t="s">
        <v>3935</v>
      </c>
      <c r="G348" s="0" t="s">
        <v>3945</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8D6058-A9CD-3BF8-83D8-E0CEA436D3F8}" mc:Ignorable="x14ac xr xr2 xr3">
  <sheetPr>
    <tabColor rgb="FFFFCC99"/>
  </sheetPr>
  <dimension ref="A1:I8"/>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3946</v>
      </c>
      <c r="B1" s="835" t="s">
        <v>3947</v>
      </c>
      <c r="C1" s="1159" t="s">
        <v>3948</v>
      </c>
      <c r="D1" s="835" t="s">
        <v>3949</v>
      </c>
      <c r="E1" s="835" t="s">
        <v>3950</v>
      </c>
      <c r="F1" s="1159" t="s">
        <v>3951</v>
      </c>
      <c r="G1" s="1159" t="s">
        <v>3952</v>
      </c>
      <c r="H1" s="1159" t="s">
        <v>3953</v>
      </c>
      <c r="I1" s="1159" t="s">
        <v>3954</v>
      </c>
    </row>
    <row customHeight="1" ht="11.25">
      <c r="A2" s="1691" t="s">
        <v>113</v>
      </c>
      <c r="B2" s="1691" t="s">
        <v>3955</v>
      </c>
      <c r="C2" s="1691" t="s">
        <v>28</v>
      </c>
      <c r="D2" s="1691" t="s">
        <v>3956</v>
      </c>
      <c r="E2" s="1691" t="s">
        <v>3957</v>
      </c>
      <c r="F2" s="1691" t="s">
        <v>28</v>
      </c>
      <c r="G2" s="1691" t="s">
        <v>28</v>
      </c>
      <c r="H2" s="1691" t="s">
        <v>28</v>
      </c>
      <c r="I2" s="1691" t="s">
        <v>28</v>
      </c>
    </row>
    <row customHeight="1" ht="11.25">
      <c r="A3" s="1691" t="s">
        <v>114</v>
      </c>
      <c r="B3" s="1691" t="s">
        <v>3958</v>
      </c>
      <c r="C3" s="1691" t="s">
        <v>28</v>
      </c>
      <c r="D3" s="1691" t="s">
        <v>3959</v>
      </c>
      <c r="E3" s="1691" t="s">
        <v>3960</v>
      </c>
      <c r="F3" s="1691" t="s">
        <v>28</v>
      </c>
      <c r="G3" s="1691" t="s">
        <v>28</v>
      </c>
      <c r="H3" s="1691" t="s">
        <v>28</v>
      </c>
      <c r="I3" s="1691" t="s">
        <v>28</v>
      </c>
    </row>
    <row customHeight="1" ht="11.25">
      <c r="A4" s="1691" t="s">
        <v>94</v>
      </c>
      <c r="B4" s="1691" t="s">
        <v>3961</v>
      </c>
      <c r="C4" s="1691" t="s">
        <v>28</v>
      </c>
      <c r="D4" s="1691" t="s">
        <v>3959</v>
      </c>
      <c r="E4" s="1691" t="s">
        <v>3962</v>
      </c>
      <c r="F4" s="1691" t="s">
        <v>28</v>
      </c>
      <c r="G4" s="1691" t="s">
        <v>28</v>
      </c>
      <c r="H4" s="1691" t="s">
        <v>28</v>
      </c>
      <c r="I4" s="1691" t="s">
        <v>28</v>
      </c>
    </row>
    <row customHeight="1" ht="11.25">
      <c r="A5" s="1691" t="s">
        <v>95</v>
      </c>
      <c r="B5" s="1691" t="s">
        <v>3963</v>
      </c>
      <c r="C5" s="1691" t="s">
        <v>28</v>
      </c>
      <c r="D5" s="1691" t="s">
        <v>3964</v>
      </c>
      <c r="E5" s="1691" t="s">
        <v>3960</v>
      </c>
      <c r="F5" s="1691" t="s">
        <v>28</v>
      </c>
      <c r="G5" s="1691" t="s">
        <v>28</v>
      </c>
      <c r="H5" s="1691" t="s">
        <v>28</v>
      </c>
      <c r="I5" s="1691" t="s">
        <v>28</v>
      </c>
    </row>
    <row customHeight="1" ht="11.25">
      <c r="A6" s="1691" t="s">
        <v>115</v>
      </c>
      <c r="B6" s="1691" t="s">
        <v>3965</v>
      </c>
      <c r="C6" s="1691" t="s">
        <v>28</v>
      </c>
      <c r="D6" s="1691" t="s">
        <v>3966</v>
      </c>
      <c r="E6" s="1691" t="s">
        <v>3967</v>
      </c>
      <c r="F6" s="1691" t="s">
        <v>28</v>
      </c>
      <c r="G6" s="1691" t="s">
        <v>28</v>
      </c>
      <c r="H6" s="1691" t="s">
        <v>28</v>
      </c>
      <c r="I6" s="1691" t="s">
        <v>28</v>
      </c>
    </row>
    <row customHeight="1" ht="11.25">
      <c r="A7" s="1691" t="s">
        <v>96</v>
      </c>
      <c r="B7" s="1691" t="s">
        <v>3968</v>
      </c>
      <c r="C7" s="1691" t="s">
        <v>28</v>
      </c>
      <c r="D7" s="1691" t="s">
        <v>3969</v>
      </c>
      <c r="E7" s="1691" t="s">
        <v>3957</v>
      </c>
      <c r="F7" s="1691" t="s">
        <v>28</v>
      </c>
      <c r="G7" s="1691" t="s">
        <v>28</v>
      </c>
      <c r="H7" s="1691" t="s">
        <v>28</v>
      </c>
      <c r="I7" s="1691" t="s">
        <v>28</v>
      </c>
    </row>
    <row customHeight="1" ht="11.25">
      <c r="A8" s="1691" t="s">
        <v>97</v>
      </c>
      <c r="B8" s="1691" t="s">
        <v>3970</v>
      </c>
      <c r="C8" s="1691" t="s">
        <v>28</v>
      </c>
      <c r="D8" s="1691" t="s">
        <v>3971</v>
      </c>
      <c r="E8" s="1691" t="s">
        <v>3967</v>
      </c>
      <c r="F8" s="1691" t="s">
        <v>28</v>
      </c>
      <c r="G8" s="1691" t="s">
        <v>28</v>
      </c>
      <c r="H8" s="1691" t="s">
        <v>28</v>
      </c>
      <c r="I8" s="1691"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E93898-23F8-09CE-D03E-979CCE6132C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CD4188-CB18-11C3-0248-EEA1FAA9940E}"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customWidth="1"/>
    <col min="12" max="12" style="1635" width="9.7109375" customWidth="1"/>
    <col min="13" max="18" style="1635" width="19.8515625" customWidth="1"/>
    <col min="19" max="19" style="1635" width="1.7109375" hidden="1" customWidth="1"/>
    <col min="20" max="22" style="1635" width="19.8515625" hidden="1" customWidth="1"/>
    <col min="23" max="23" style="1635" width="1.7109375" hidden="1" customWidth="1"/>
    <col min="24" max="26" style="1635" width="19.8515625" hidden="1" customWidth="1"/>
    <col min="27" max="27" style="1635" width="1.7109375" hidden="1" customWidth="1"/>
    <col min="28" max="29" style="1635" width="19.8515625" hidden="1" customWidth="1"/>
    <col min="30" max="30" style="1635" width="1.7109375" hidden="1" customWidth="1"/>
    <col min="31" max="31" style="1635" width="103.7109375" customWidth="1"/>
    <col min="32" max="34" style="1635" width="103.7109375" hidden="1"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360</v>
      </c>
      <c r="I1" s="2217"/>
      <c r="J1" s="2217"/>
      <c r="K1" s="2217"/>
      <c r="L1" s="2217"/>
      <c r="M1" s="2217"/>
      <c r="N1" s="2217"/>
      <c r="O1" s="2217"/>
      <c r="P1" s="2217"/>
      <c r="Q1" s="2217"/>
      <c r="R1" s="2217"/>
      <c r="T1" s="2217" t="s">
        <v>361</v>
      </c>
      <c r="U1" s="2217"/>
      <c r="V1" s="2217"/>
      <c r="X1" s="2217" t="s">
        <v>362</v>
      </c>
      <c r="Y1" s="2217"/>
      <c r="Z1" s="2217"/>
      <c r="AB1" s="2217" t="s">
        <v>363</v>
      </c>
      <c r="AC1" s="2217"/>
      <c r="AT1" s="447" t="s">
        <v>14</v>
      </c>
    </row>
    <row customHeight="1" ht="14.25" hidden="1">
      <c r="AT2" s="447">
        <v>0</v>
      </c>
    </row>
    <row s="1613" customFormat="1" customHeight="1" ht="5.25">
      <c r="C3" s="701"/>
      <c r="D3" s="702"/>
      <c r="E3" s="702"/>
      <c r="F3" s="702"/>
      <c r="G3" s="702"/>
      <c r="H3" s="702" t="s">
        <v>364</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ООО "Энерго-Сервис"</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308</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309</v>
      </c>
      <c r="AF7" s="2223" t="s">
        <v>309</v>
      </c>
      <c r="AG7" s="2223" t="s">
        <v>309</v>
      </c>
      <c r="AH7" s="2223" t="s">
        <v>309</v>
      </c>
      <c r="AT7" s="447">
        <v>14</v>
      </c>
    </row>
    <row customHeight="1" ht="27.299999999999997">
      <c r="C8" s="450"/>
      <c r="D8" s="2127" t="s">
        <v>92</v>
      </c>
      <c r="E8" s="2223" t="str">
        <f>"Наименование "&amp;IF(TEMPLATE_SPHERE&lt;&gt;"HEAT","централизованной ","")&amp;"системы "&amp;TEMPLATE_SPHERE_RUS</f>
        <v>Наименование системы теплоснабжения</v>
      </c>
      <c r="F8" s="2223" t="str">
        <f>IF(TEMPLATE_SPHERE&lt;&gt;"HEAT","Регулируемый вид деятельности","Вид регулируемой деятельности")</f>
        <v>Вид регулируемой деятельности</v>
      </c>
      <c r="G8" s="828"/>
      <c r="H8" s="2224" t="s">
        <v>365</v>
      </c>
      <c r="I8" s="2226" t="s">
        <v>366</v>
      </c>
      <c r="J8" s="2223" t="s">
        <v>367</v>
      </c>
      <c r="K8" s="2223"/>
      <c r="L8" s="2223"/>
      <c r="M8" s="2218"/>
      <c r="N8" s="2223" t="s">
        <v>368</v>
      </c>
      <c r="O8" s="2223"/>
      <c r="P8" s="2223" t="s">
        <v>369</v>
      </c>
      <c r="Q8" s="2223"/>
      <c r="R8" s="2230" t="s">
        <v>370</v>
      </c>
      <c r="S8" s="824"/>
      <c r="T8" s="2228" t="s">
        <v>371</v>
      </c>
      <c r="U8" s="2228" t="s">
        <v>372</v>
      </c>
      <c r="V8" s="2228" t="s">
        <v>373</v>
      </c>
      <c r="W8" s="826"/>
      <c r="X8" s="2228" t="s">
        <v>374</v>
      </c>
      <c r="Y8" s="2228" t="s">
        <v>375</v>
      </c>
      <c r="Z8" s="2228" t="s">
        <v>376</v>
      </c>
      <c r="AA8" s="826"/>
      <c r="AB8" s="2228" t="s">
        <v>377</v>
      </c>
      <c r="AC8" s="2228" t="s">
        <v>370</v>
      </c>
      <c r="AD8" s="826"/>
      <c r="AE8" s="2223"/>
      <c r="AF8" s="2223"/>
      <c r="AG8" s="2223"/>
      <c r="AH8" s="2223"/>
      <c r="AT8" s="447">
        <v>26</v>
      </c>
    </row>
    <row customHeight="1" ht="46.199999999999996">
      <c r="C9" s="450"/>
      <c r="D9" s="2127"/>
      <c r="E9" s="2223"/>
      <c r="F9" s="2223"/>
      <c r="G9" s="829"/>
      <c r="H9" s="2225"/>
      <c r="I9" s="2227"/>
      <c r="J9" s="425" t="s">
        <v>378</v>
      </c>
      <c r="K9" s="425" t="s">
        <v>379</v>
      </c>
      <c r="L9" s="425" t="s">
        <v>380</v>
      </c>
      <c r="M9" s="431" t="s">
        <v>381</v>
      </c>
      <c r="N9" s="425" t="s">
        <v>382</v>
      </c>
      <c r="O9" s="425" t="s">
        <v>381</v>
      </c>
      <c r="P9" s="425" t="s">
        <v>383</v>
      </c>
      <c r="Q9" s="425" t="s">
        <v>381</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384</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113</v>
      </c>
      <c r="E12" s="1777" t="s">
        <v>28</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385</v>
      </c>
      <c r="AF12" s="2221" t="s">
        <v>386</v>
      </c>
      <c r="AG12" s="2221" t="s">
        <v>387</v>
      </c>
      <c r="AH12" s="2221" t="s">
        <v>388</v>
      </c>
      <c r="AI12" s="447"/>
      <c r="AM12" s="511"/>
      <c r="AP12" s="500" t="s">
        <v>389</v>
      </c>
      <c r="AQ12" s="500" t="s">
        <v>389</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86</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18307C-CA58-8483-D16E-498ABB96FBC7}"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134</v>
      </c>
      <c r="B1" s="183" t="s">
        <v>3972</v>
      </c>
    </row>
    <row customHeight="1" ht="11.25">
      <c r="A2" s="183" t="s">
        <v>102</v>
      </c>
      <c r="B2" s="183" t="s">
        <v>3973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538B38-B506-C1A9-DC41-33EE10B9D5F9}"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3974</v>
      </c>
      <c r="B1" s="835" t="s">
        <v>3975</v>
      </c>
    </row>
    <row customHeight="1" ht="11.25">
      <c r="A2" s="835">
        <v>4213775</v>
      </c>
      <c r="B2" s="835" t="s">
        <v>1225</v>
      </c>
    </row>
    <row customHeight="1" ht="11.25">
      <c r="A3" s="835">
        <v>4213784</v>
      </c>
      <c r="B3" s="835" t="s">
        <v>1258</v>
      </c>
    </row>
    <row customHeight="1" ht="11.25">
      <c r="A4" s="835">
        <v>4213781</v>
      </c>
      <c r="B4" s="835" t="s">
        <v>1251</v>
      </c>
    </row>
    <row customHeight="1" ht="11.25">
      <c r="A5" s="835">
        <v>4213776</v>
      </c>
      <c r="B5" s="835" t="s">
        <v>176</v>
      </c>
    </row>
    <row customHeight="1" ht="11.25">
      <c r="A6" s="835">
        <v>4213777</v>
      </c>
      <c r="B6" s="835" t="s">
        <v>182</v>
      </c>
    </row>
    <row customHeight="1" ht="11.25">
      <c r="A7" s="835">
        <v>4213778</v>
      </c>
      <c r="B7" s="835" t="s">
        <v>188</v>
      </c>
    </row>
    <row customHeight="1" ht="11.25">
      <c r="A8" s="835">
        <v>4213780</v>
      </c>
      <c r="B8" s="835" t="s">
        <v>194</v>
      </c>
    </row>
    <row customHeight="1" ht="11.25">
      <c r="A9" s="835">
        <v>4213779</v>
      </c>
      <c r="B9" s="835" t="s">
        <v>1391</v>
      </c>
    </row>
    <row customHeight="1" ht="11.25">
      <c r="A10" s="835">
        <v>4213783</v>
      </c>
      <c r="B10" s="835" t="s">
        <v>1406</v>
      </c>
    </row>
    <row customHeight="1" ht="11.25">
      <c r="A11" s="835">
        <v>4213782</v>
      </c>
      <c r="B11" s="835" t="s">
        <v>200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A98298-5058-4358-D04C-E9E9316A4DD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3974</v>
      </c>
      <c r="B1" s="835" t="s">
        <v>3976</v>
      </c>
    </row>
    <row customHeight="1" ht="11.25">
      <c r="A2" s="835" t="s">
        <v>3977</v>
      </c>
      <c r="B2" s="835" t="s">
        <v>1504</v>
      </c>
    </row>
    <row customHeight="1" ht="11.25">
      <c r="A3" s="835" t="s">
        <v>3978</v>
      </c>
      <c r="B3" s="835" t="s">
        <v>1514</v>
      </c>
    </row>
    <row customHeight="1" ht="11.25">
      <c r="A4" s="835" t="s">
        <v>3979</v>
      </c>
      <c r="B4" s="835" t="s">
        <v>1523</v>
      </c>
    </row>
    <row customHeight="1" ht="11.25">
      <c r="A5" s="835" t="s">
        <v>3980</v>
      </c>
      <c r="B5" s="835" t="s">
        <v>1532</v>
      </c>
    </row>
    <row customHeight="1" ht="11.25">
      <c r="A6" s="835" t="s">
        <v>3981</v>
      </c>
      <c r="B6" s="835" t="s">
        <v>1538</v>
      </c>
    </row>
    <row customHeight="1" ht="11.25">
      <c r="A7" s="835" t="s">
        <v>3982</v>
      </c>
      <c r="B7" s="835" t="s">
        <v>1546</v>
      </c>
    </row>
    <row customHeight="1" ht="11.25">
      <c r="A8" s="835" t="s">
        <v>3983</v>
      </c>
      <c r="B8" s="835" t="s">
        <v>1553</v>
      </c>
    </row>
    <row customHeight="1" ht="11.25">
      <c r="A9" s="835" t="s">
        <v>3984</v>
      </c>
      <c r="B9" s="835" t="s">
        <v>1559</v>
      </c>
    </row>
    <row customHeight="1" ht="11.25">
      <c r="A10" s="835" t="s">
        <v>3985</v>
      </c>
      <c r="B10" s="835" t="s">
        <v>1563</v>
      </c>
    </row>
    <row customHeight="1" ht="11.25">
      <c r="A11" s="835" t="s">
        <v>3986</v>
      </c>
      <c r="B11" s="835" t="s">
        <v>1570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0844B8-C3A8-E978-5668-C5BF3B0DB0BC}" mc:Ignorable="x14ac xr xr2 xr3">
  <sheetPr>
    <tabColor rgb="FFFFCC99"/>
  </sheetPr>
  <dimension ref="A1:G348"/>
  <sheetViews>
    <sheetView topLeftCell="A1" showGridLines="0" workbookViewId="0">
      <selection activeCell="A1" sqref="A1"/>
    </sheetView>
  </sheetViews>
  <sheetFormatPr customHeight="1" defaultRowHeight="11.25"/>
  <sheetData>
    <row customHeight="1" ht="11.25">
      <c r="A1" s="373" t="s">
        <v>2978</v>
      </c>
      <c r="B1" s="373" t="s">
        <v>2979</v>
      </c>
      <c r="C1" s="373" t="s">
        <v>2980</v>
      </c>
      <c r="D1" s="373" t="s">
        <v>2981</v>
      </c>
      <c r="E1" s="0" t="s">
        <v>2982</v>
      </c>
      <c r="F1" s="0" t="s">
        <v>2983</v>
      </c>
      <c r="G1" s="0" t="s">
        <v>2984</v>
      </c>
    </row>
    <row customHeight="1" ht="11.25">
      <c r="A2" s="0" t="s">
        <v>16</v>
      </c>
      <c r="B2" s="0" t="s">
        <v>2985</v>
      </c>
      <c r="C2" s="0" t="s">
        <v>2986</v>
      </c>
      <c r="D2" s="0" t="s">
        <v>2987</v>
      </c>
      <c r="E2" s="0" t="s">
        <v>2988</v>
      </c>
      <c r="F2" s="0" t="s">
        <v>2989</v>
      </c>
      <c r="G2" s="0" t="s">
        <v>113</v>
      </c>
    </row>
    <row customHeight="1" ht="11.25">
      <c r="A3" s="0" t="s">
        <v>16</v>
      </c>
      <c r="B3" s="0" t="s">
        <v>2985</v>
      </c>
      <c r="C3" s="0" t="s">
        <v>2986</v>
      </c>
      <c r="D3" s="0" t="s">
        <v>2985</v>
      </c>
      <c r="E3" s="0" t="s">
        <v>2986</v>
      </c>
      <c r="F3" s="0" t="s">
        <v>2990</v>
      </c>
      <c r="G3" s="0" t="s">
        <v>114</v>
      </c>
    </row>
    <row customHeight="1" ht="11.25">
      <c r="A4" s="0" t="s">
        <v>16</v>
      </c>
      <c r="B4" s="0" t="s">
        <v>2985</v>
      </c>
      <c r="C4" s="0" t="s">
        <v>2986</v>
      </c>
      <c r="D4" s="0" t="s">
        <v>2991</v>
      </c>
      <c r="E4" s="0" t="s">
        <v>2992</v>
      </c>
      <c r="F4" s="0" t="s">
        <v>2989</v>
      </c>
      <c r="G4" s="0" t="s">
        <v>94</v>
      </c>
    </row>
    <row customHeight="1" ht="11.25">
      <c r="A5" s="0" t="s">
        <v>16</v>
      </c>
      <c r="B5" s="0" t="s">
        <v>2985</v>
      </c>
      <c r="C5" s="0" t="s">
        <v>2986</v>
      </c>
      <c r="D5" s="0" t="s">
        <v>2993</v>
      </c>
      <c r="E5" s="0" t="s">
        <v>2994</v>
      </c>
      <c r="F5" s="0" t="s">
        <v>2989</v>
      </c>
      <c r="G5" s="0" t="s">
        <v>95</v>
      </c>
    </row>
    <row customHeight="1" ht="11.25">
      <c r="A6" s="0" t="s">
        <v>16</v>
      </c>
      <c r="B6" s="0" t="s">
        <v>2985</v>
      </c>
      <c r="C6" s="0" t="s">
        <v>2986</v>
      </c>
      <c r="D6" s="0" t="s">
        <v>2995</v>
      </c>
      <c r="E6" s="0" t="s">
        <v>2996</v>
      </c>
      <c r="F6" s="0" t="s">
        <v>2989</v>
      </c>
      <c r="G6" s="0" t="s">
        <v>115</v>
      </c>
    </row>
    <row customHeight="1" ht="11.25">
      <c r="A7" s="0" t="s">
        <v>16</v>
      </c>
      <c r="B7" s="0" t="s">
        <v>2985</v>
      </c>
      <c r="C7" s="0" t="s">
        <v>2986</v>
      </c>
      <c r="D7" s="0" t="s">
        <v>2997</v>
      </c>
      <c r="E7" s="0" t="s">
        <v>2998</v>
      </c>
      <c r="F7" s="0" t="s">
        <v>2989</v>
      </c>
      <c r="G7" s="0" t="s">
        <v>96</v>
      </c>
    </row>
    <row customHeight="1" ht="11.25">
      <c r="A8" s="0" t="s">
        <v>16</v>
      </c>
      <c r="B8" s="0" t="s">
        <v>2985</v>
      </c>
      <c r="C8" s="0" t="s">
        <v>2986</v>
      </c>
      <c r="D8" s="0" t="s">
        <v>2999</v>
      </c>
      <c r="E8" s="0" t="s">
        <v>3000</v>
      </c>
      <c r="F8" s="0" t="s">
        <v>2989</v>
      </c>
      <c r="G8" s="0" t="s">
        <v>97</v>
      </c>
    </row>
    <row customHeight="1" ht="11.25">
      <c r="A9" s="0" t="s">
        <v>16</v>
      </c>
      <c r="B9" s="0" t="s">
        <v>2985</v>
      </c>
      <c r="C9" s="0" t="s">
        <v>2986</v>
      </c>
      <c r="D9" s="0" t="s">
        <v>3001</v>
      </c>
      <c r="E9" s="0" t="s">
        <v>3002</v>
      </c>
      <c r="F9" s="0" t="s">
        <v>2989</v>
      </c>
      <c r="G9" s="0" t="s">
        <v>116</v>
      </c>
    </row>
    <row customHeight="1" ht="11.25">
      <c r="A10" s="0" t="s">
        <v>16</v>
      </c>
      <c r="B10" s="0" t="s">
        <v>2985</v>
      </c>
      <c r="C10" s="0" t="s">
        <v>2986</v>
      </c>
      <c r="D10" s="0" t="s">
        <v>3003</v>
      </c>
      <c r="E10" s="0" t="s">
        <v>3004</v>
      </c>
      <c r="F10" s="0" t="s">
        <v>2989</v>
      </c>
      <c r="G10" s="0" t="s">
        <v>152</v>
      </c>
    </row>
    <row customHeight="1" ht="11.25">
      <c r="A11" s="0" t="s">
        <v>16</v>
      </c>
      <c r="B11" s="0" t="s">
        <v>2985</v>
      </c>
      <c r="C11" s="0" t="s">
        <v>2986</v>
      </c>
      <c r="D11" s="0" t="s">
        <v>3005</v>
      </c>
      <c r="E11" s="0" t="s">
        <v>3006</v>
      </c>
      <c r="F11" s="0" t="s">
        <v>2989</v>
      </c>
      <c r="G11" s="0" t="s">
        <v>153</v>
      </c>
    </row>
    <row customHeight="1" ht="11.25">
      <c r="A12" s="0" t="s">
        <v>16</v>
      </c>
      <c r="B12" s="0" t="s">
        <v>2985</v>
      </c>
      <c r="C12" s="0" t="s">
        <v>2986</v>
      </c>
      <c r="D12" s="0" t="s">
        <v>3007</v>
      </c>
      <c r="E12" s="0" t="s">
        <v>3008</v>
      </c>
      <c r="F12" s="0" t="s">
        <v>2989</v>
      </c>
      <c r="G12" s="0" t="s">
        <v>154</v>
      </c>
    </row>
    <row customHeight="1" ht="11.25">
      <c r="A13" s="0" t="s">
        <v>16</v>
      </c>
      <c r="B13" s="0" t="s">
        <v>2985</v>
      </c>
      <c r="C13" s="0" t="s">
        <v>2986</v>
      </c>
      <c r="D13" s="0" t="s">
        <v>3009</v>
      </c>
      <c r="E13" s="0" t="s">
        <v>3010</v>
      </c>
      <c r="F13" s="0" t="s">
        <v>2989</v>
      </c>
      <c r="G13" s="0" t="s">
        <v>155</v>
      </c>
    </row>
    <row customHeight="1" ht="11.25">
      <c r="A14" s="0" t="s">
        <v>16</v>
      </c>
      <c r="B14" s="0" t="s">
        <v>2985</v>
      </c>
      <c r="C14" s="0" t="s">
        <v>2986</v>
      </c>
      <c r="D14" s="0" t="s">
        <v>3011</v>
      </c>
      <c r="E14" s="0" t="s">
        <v>3012</v>
      </c>
      <c r="F14" s="0" t="s">
        <v>2989</v>
      </c>
      <c r="G14" s="0" t="s">
        <v>156</v>
      </c>
    </row>
    <row customHeight="1" ht="11.25">
      <c r="A15" s="0" t="s">
        <v>16</v>
      </c>
      <c r="B15" s="0" t="s">
        <v>2985</v>
      </c>
      <c r="C15" s="0" t="s">
        <v>2986</v>
      </c>
      <c r="D15" s="0" t="s">
        <v>3013</v>
      </c>
      <c r="E15" s="0" t="s">
        <v>3014</v>
      </c>
      <c r="F15" s="0" t="s">
        <v>2989</v>
      </c>
      <c r="G15" s="0" t="s">
        <v>157</v>
      </c>
    </row>
    <row customHeight="1" ht="11.25">
      <c r="A16" s="0" t="s">
        <v>16</v>
      </c>
      <c r="B16" s="0" t="s">
        <v>2985</v>
      </c>
      <c r="C16" s="0" t="s">
        <v>2986</v>
      </c>
      <c r="D16" s="0" t="s">
        <v>3015</v>
      </c>
      <c r="E16" s="0" t="s">
        <v>3016</v>
      </c>
      <c r="F16" s="0" t="s">
        <v>2989</v>
      </c>
      <c r="G16" s="0" t="s">
        <v>1466</v>
      </c>
    </row>
    <row customHeight="1" ht="11.25">
      <c r="A17" s="0" t="s">
        <v>16</v>
      </c>
      <c r="B17" s="0" t="s">
        <v>3017</v>
      </c>
      <c r="C17" s="0" t="s">
        <v>3018</v>
      </c>
      <c r="D17" s="0" t="s">
        <v>3017</v>
      </c>
      <c r="E17" s="0" t="s">
        <v>3018</v>
      </c>
      <c r="F17" s="0" t="s">
        <v>2990</v>
      </c>
      <c r="G17" s="0" t="s">
        <v>1472</v>
      </c>
    </row>
    <row customHeight="1" ht="11.25">
      <c r="A18" s="0" t="s">
        <v>16</v>
      </c>
      <c r="B18" s="0" t="s">
        <v>3017</v>
      </c>
      <c r="C18" s="0" t="s">
        <v>3018</v>
      </c>
      <c r="D18" s="0" t="s">
        <v>3019</v>
      </c>
      <c r="E18" s="0" t="s">
        <v>3020</v>
      </c>
      <c r="F18" s="0" t="s">
        <v>2989</v>
      </c>
      <c r="G18" s="0" t="s">
        <v>1484</v>
      </c>
    </row>
    <row customHeight="1" ht="11.25">
      <c r="A19" s="0" t="s">
        <v>16</v>
      </c>
      <c r="B19" s="0" t="s">
        <v>3017</v>
      </c>
      <c r="C19" s="0" t="s">
        <v>3018</v>
      </c>
      <c r="D19" s="0" t="s">
        <v>3021</v>
      </c>
      <c r="E19" s="0" t="s">
        <v>3022</v>
      </c>
      <c r="F19" s="0" t="s">
        <v>2989</v>
      </c>
      <c r="G19" s="0" t="s">
        <v>1498</v>
      </c>
    </row>
    <row customHeight="1" ht="11.25">
      <c r="A20" s="0" t="s">
        <v>16</v>
      </c>
      <c r="B20" s="0" t="s">
        <v>3017</v>
      </c>
      <c r="C20" s="0" t="s">
        <v>3018</v>
      </c>
      <c r="D20" s="0" t="s">
        <v>3023</v>
      </c>
      <c r="E20" s="0" t="s">
        <v>3024</v>
      </c>
      <c r="F20" s="0" t="s">
        <v>2989</v>
      </c>
      <c r="G20" s="0" t="s">
        <v>1510</v>
      </c>
    </row>
    <row customHeight="1" ht="11.25">
      <c r="A21" s="0" t="s">
        <v>16</v>
      </c>
      <c r="B21" s="0" t="s">
        <v>3017</v>
      </c>
      <c r="C21" s="0" t="s">
        <v>3018</v>
      </c>
      <c r="D21" s="0" t="s">
        <v>3025</v>
      </c>
      <c r="E21" s="0" t="s">
        <v>3026</v>
      </c>
      <c r="F21" s="0" t="s">
        <v>2989</v>
      </c>
      <c r="G21" s="0" t="s">
        <v>1519</v>
      </c>
    </row>
    <row customHeight="1" ht="11.25">
      <c r="A22" s="0" t="s">
        <v>16</v>
      </c>
      <c r="B22" s="0" t="s">
        <v>3017</v>
      </c>
      <c r="C22" s="0" t="s">
        <v>3018</v>
      </c>
      <c r="D22" s="0" t="s">
        <v>3027</v>
      </c>
      <c r="E22" s="0" t="s">
        <v>3028</v>
      </c>
      <c r="F22" s="0" t="s">
        <v>2989</v>
      </c>
      <c r="G22" s="0" t="s">
        <v>1535</v>
      </c>
    </row>
    <row customHeight="1" ht="11.25">
      <c r="A23" s="0" t="s">
        <v>16</v>
      </c>
      <c r="B23" s="0" t="s">
        <v>3017</v>
      </c>
      <c r="C23" s="0" t="s">
        <v>3018</v>
      </c>
      <c r="D23" s="0" t="s">
        <v>3029</v>
      </c>
      <c r="E23" s="0" t="s">
        <v>3030</v>
      </c>
      <c r="F23" s="0" t="s">
        <v>2989</v>
      </c>
      <c r="G23" s="0" t="s">
        <v>1542</v>
      </c>
    </row>
    <row customHeight="1" ht="11.25">
      <c r="A24" s="0" t="s">
        <v>16</v>
      </c>
      <c r="B24" s="0" t="s">
        <v>3017</v>
      </c>
      <c r="C24" s="0" t="s">
        <v>3018</v>
      </c>
      <c r="D24" s="0" t="s">
        <v>3031</v>
      </c>
      <c r="E24" s="0" t="s">
        <v>3032</v>
      </c>
      <c r="F24" s="0" t="s">
        <v>2989</v>
      </c>
      <c r="G24" s="0" t="s">
        <v>1550</v>
      </c>
    </row>
    <row customHeight="1" ht="11.25">
      <c r="A25" s="0" t="s">
        <v>16</v>
      </c>
      <c r="B25" s="0" t="s">
        <v>3033</v>
      </c>
      <c r="C25" s="0" t="s">
        <v>3034</v>
      </c>
      <c r="D25" s="0" t="s">
        <v>3035</v>
      </c>
      <c r="E25" s="0" t="s">
        <v>3036</v>
      </c>
      <c r="F25" s="0" t="s">
        <v>2989</v>
      </c>
      <c r="G25" s="0" t="s">
        <v>1557</v>
      </c>
    </row>
    <row customHeight="1" ht="11.25">
      <c r="A26" s="0" t="s">
        <v>16</v>
      </c>
      <c r="B26" s="0" t="s">
        <v>3033</v>
      </c>
      <c r="C26" s="0" t="s">
        <v>3034</v>
      </c>
      <c r="D26" s="0" t="s">
        <v>3037</v>
      </c>
      <c r="E26" s="0" t="s">
        <v>3038</v>
      </c>
      <c r="F26" s="0" t="s">
        <v>2989</v>
      </c>
      <c r="G26" s="0" t="s">
        <v>1561</v>
      </c>
    </row>
    <row customHeight="1" ht="11.25">
      <c r="A27" s="0" t="s">
        <v>16</v>
      </c>
      <c r="B27" s="0" t="s">
        <v>3033</v>
      </c>
      <c r="C27" s="0" t="s">
        <v>3034</v>
      </c>
      <c r="D27" s="0" t="s">
        <v>3033</v>
      </c>
      <c r="E27" s="0" t="s">
        <v>3034</v>
      </c>
      <c r="F27" s="0" t="s">
        <v>2990</v>
      </c>
      <c r="G27" s="0" t="s">
        <v>1566</v>
      </c>
    </row>
    <row customHeight="1" ht="11.25">
      <c r="A28" s="0" t="s">
        <v>16</v>
      </c>
      <c r="B28" s="0" t="s">
        <v>3033</v>
      </c>
      <c r="C28" s="0" t="s">
        <v>3034</v>
      </c>
      <c r="D28" s="0" t="s">
        <v>3039</v>
      </c>
      <c r="E28" s="0" t="s">
        <v>3040</v>
      </c>
      <c r="F28" s="0" t="s">
        <v>2989</v>
      </c>
      <c r="G28" s="0" t="s">
        <v>1574</v>
      </c>
    </row>
    <row customHeight="1" ht="11.25">
      <c r="A29" s="0" t="s">
        <v>16</v>
      </c>
      <c r="B29" s="0" t="s">
        <v>3033</v>
      </c>
      <c r="C29" s="0" t="s">
        <v>3034</v>
      </c>
      <c r="D29" s="0" t="s">
        <v>3041</v>
      </c>
      <c r="E29" s="0" t="s">
        <v>3042</v>
      </c>
      <c r="F29" s="0" t="s">
        <v>2989</v>
      </c>
      <c r="G29" s="0" t="s">
        <v>1576</v>
      </c>
    </row>
    <row customHeight="1" ht="11.25">
      <c r="A30" s="0" t="s">
        <v>16</v>
      </c>
      <c r="B30" s="0" t="s">
        <v>3033</v>
      </c>
      <c r="C30" s="0" t="s">
        <v>3034</v>
      </c>
      <c r="D30" s="0" t="s">
        <v>3043</v>
      </c>
      <c r="E30" s="0" t="s">
        <v>3044</v>
      </c>
      <c r="F30" s="0" t="s">
        <v>2989</v>
      </c>
      <c r="G30" s="0" t="s">
        <v>1579</v>
      </c>
    </row>
    <row customHeight="1" ht="11.25">
      <c r="A31" s="0" t="s">
        <v>16</v>
      </c>
      <c r="B31" s="0" t="s">
        <v>3033</v>
      </c>
      <c r="C31" s="0" t="s">
        <v>3034</v>
      </c>
      <c r="D31" s="0" t="s">
        <v>3045</v>
      </c>
      <c r="E31" s="0" t="s">
        <v>3046</v>
      </c>
      <c r="F31" s="0" t="s">
        <v>2989</v>
      </c>
      <c r="G31" s="0" t="s">
        <v>1585</v>
      </c>
    </row>
    <row customHeight="1" ht="11.25">
      <c r="A32" s="0" t="s">
        <v>16</v>
      </c>
      <c r="B32" s="0" t="s">
        <v>3033</v>
      </c>
      <c r="C32" s="0" t="s">
        <v>3034</v>
      </c>
      <c r="D32" s="0" t="s">
        <v>3047</v>
      </c>
      <c r="E32" s="0" t="s">
        <v>3048</v>
      </c>
      <c r="F32" s="0" t="s">
        <v>2989</v>
      </c>
      <c r="G32" s="0" t="s">
        <v>1586</v>
      </c>
    </row>
    <row customHeight="1" ht="11.25">
      <c r="A33" s="0" t="s">
        <v>16</v>
      </c>
      <c r="B33" s="0" t="s">
        <v>3033</v>
      </c>
      <c r="C33" s="0" t="s">
        <v>3034</v>
      </c>
      <c r="D33" s="0" t="s">
        <v>3049</v>
      </c>
      <c r="E33" s="0" t="s">
        <v>3050</v>
      </c>
      <c r="F33" s="0" t="s">
        <v>2989</v>
      </c>
      <c r="G33" s="0" t="s">
        <v>1588</v>
      </c>
    </row>
    <row customHeight="1" ht="11.25">
      <c r="A34" s="0" t="s">
        <v>16</v>
      </c>
      <c r="B34" s="0" t="s">
        <v>3033</v>
      </c>
      <c r="C34" s="0" t="s">
        <v>3034</v>
      </c>
      <c r="D34" s="0" t="s">
        <v>3051</v>
      </c>
      <c r="E34" s="0" t="s">
        <v>3052</v>
      </c>
      <c r="F34" s="0" t="s">
        <v>2989</v>
      </c>
      <c r="G34" s="0" t="s">
        <v>1590</v>
      </c>
    </row>
    <row customHeight="1" ht="11.25">
      <c r="A35" s="0" t="s">
        <v>16</v>
      </c>
      <c r="B35" s="0" t="s">
        <v>3033</v>
      </c>
      <c r="C35" s="0" t="s">
        <v>3034</v>
      </c>
      <c r="D35" s="0" t="s">
        <v>3053</v>
      </c>
      <c r="E35" s="0" t="s">
        <v>3054</v>
      </c>
      <c r="F35" s="0" t="s">
        <v>2989</v>
      </c>
      <c r="G35" s="0" t="s">
        <v>1595</v>
      </c>
    </row>
    <row customHeight="1" ht="11.25">
      <c r="A36" s="0" t="s">
        <v>16</v>
      </c>
      <c r="B36" s="0" t="s">
        <v>3033</v>
      </c>
      <c r="C36" s="0" t="s">
        <v>3034</v>
      </c>
      <c r="D36" s="0" t="s">
        <v>3055</v>
      </c>
      <c r="E36" s="0" t="s">
        <v>3056</v>
      </c>
      <c r="F36" s="0" t="s">
        <v>2989</v>
      </c>
      <c r="G36" s="0" t="s">
        <v>1600</v>
      </c>
    </row>
    <row customHeight="1" ht="11.25">
      <c r="A37" s="0" t="s">
        <v>16</v>
      </c>
      <c r="B37" s="0" t="s">
        <v>3033</v>
      </c>
      <c r="C37" s="0" t="s">
        <v>3034</v>
      </c>
      <c r="D37" s="0" t="s">
        <v>3057</v>
      </c>
      <c r="E37" s="0" t="s">
        <v>3058</v>
      </c>
      <c r="F37" s="0" t="s">
        <v>3059</v>
      </c>
      <c r="G37" s="0" t="s">
        <v>1604</v>
      </c>
    </row>
    <row customHeight="1" ht="11.25">
      <c r="A38" s="0" t="s">
        <v>16</v>
      </c>
      <c r="B38" s="0" t="s">
        <v>3033</v>
      </c>
      <c r="C38" s="0" t="s">
        <v>3034</v>
      </c>
      <c r="D38" s="0" t="s">
        <v>3060</v>
      </c>
      <c r="E38" s="0" t="s">
        <v>3061</v>
      </c>
      <c r="F38" s="0" t="s">
        <v>3059</v>
      </c>
      <c r="G38" s="0" t="s">
        <v>1612</v>
      </c>
    </row>
    <row customHeight="1" ht="11.25">
      <c r="A39" s="0" t="s">
        <v>16</v>
      </c>
      <c r="B39" s="0" t="s">
        <v>3062</v>
      </c>
      <c r="C39" s="0" t="s">
        <v>3063</v>
      </c>
      <c r="D39" s="0" t="s">
        <v>3064</v>
      </c>
      <c r="E39" s="0" t="s">
        <v>3065</v>
      </c>
      <c r="F39" s="0" t="s">
        <v>2989</v>
      </c>
      <c r="G39" s="0" t="s">
        <v>1618</v>
      </c>
    </row>
    <row customHeight="1" ht="11.25">
      <c r="A40" s="0" t="s">
        <v>16</v>
      </c>
      <c r="B40" s="0" t="s">
        <v>3062</v>
      </c>
      <c r="C40" s="0" t="s">
        <v>3063</v>
      </c>
      <c r="D40" s="0" t="s">
        <v>3066</v>
      </c>
      <c r="E40" s="0" t="s">
        <v>3067</v>
      </c>
      <c r="F40" s="0" t="s">
        <v>2989</v>
      </c>
      <c r="G40" s="0" t="s">
        <v>1623</v>
      </c>
    </row>
    <row customHeight="1" ht="11.25">
      <c r="A41" s="0" t="s">
        <v>16</v>
      </c>
      <c r="B41" s="0" t="s">
        <v>3062</v>
      </c>
      <c r="C41" s="0" t="s">
        <v>3063</v>
      </c>
      <c r="D41" s="0" t="s">
        <v>3062</v>
      </c>
      <c r="E41" s="0" t="s">
        <v>3063</v>
      </c>
      <c r="F41" s="0" t="s">
        <v>2990</v>
      </c>
      <c r="G41" s="0" t="s">
        <v>1627</v>
      </c>
    </row>
    <row customHeight="1" ht="11.25">
      <c r="A42" s="0" t="s">
        <v>16</v>
      </c>
      <c r="B42" s="0" t="s">
        <v>3062</v>
      </c>
      <c r="C42" s="0" t="s">
        <v>3063</v>
      </c>
      <c r="D42" s="0" t="s">
        <v>3068</v>
      </c>
      <c r="E42" s="0" t="s">
        <v>3069</v>
      </c>
      <c r="F42" s="0" t="s">
        <v>2989</v>
      </c>
      <c r="G42" s="0" t="s">
        <v>1630</v>
      </c>
    </row>
    <row customHeight="1" ht="11.25">
      <c r="A43" s="0" t="s">
        <v>16</v>
      </c>
      <c r="B43" s="0" t="s">
        <v>3062</v>
      </c>
      <c r="C43" s="0" t="s">
        <v>3063</v>
      </c>
      <c r="D43" s="0" t="s">
        <v>3070</v>
      </c>
      <c r="E43" s="0" t="s">
        <v>3071</v>
      </c>
      <c r="F43" s="0" t="s">
        <v>2989</v>
      </c>
      <c r="G43" s="0" t="s">
        <v>1637</v>
      </c>
    </row>
    <row customHeight="1" ht="11.25">
      <c r="A44" s="0" t="s">
        <v>16</v>
      </c>
      <c r="B44" s="0" t="s">
        <v>3062</v>
      </c>
      <c r="C44" s="0" t="s">
        <v>3063</v>
      </c>
      <c r="D44" s="0" t="s">
        <v>3072</v>
      </c>
      <c r="E44" s="0" t="s">
        <v>3073</v>
      </c>
      <c r="F44" s="0" t="s">
        <v>2989</v>
      </c>
      <c r="G44" s="0" t="s">
        <v>1646</v>
      </c>
    </row>
    <row customHeight="1" ht="11.25">
      <c r="A45" s="0" t="s">
        <v>16</v>
      </c>
      <c r="B45" s="0" t="s">
        <v>3062</v>
      </c>
      <c r="C45" s="0" t="s">
        <v>3063</v>
      </c>
      <c r="D45" s="0" t="s">
        <v>3074</v>
      </c>
      <c r="E45" s="0" t="s">
        <v>3075</v>
      </c>
      <c r="F45" s="0" t="s">
        <v>2989</v>
      </c>
      <c r="G45" s="0" t="s">
        <v>1651</v>
      </c>
    </row>
    <row customHeight="1" ht="11.25">
      <c r="A46" s="0" t="s">
        <v>16</v>
      </c>
      <c r="B46" s="0" t="s">
        <v>3062</v>
      </c>
      <c r="C46" s="0" t="s">
        <v>3063</v>
      </c>
      <c r="D46" s="0" t="s">
        <v>3076</v>
      </c>
      <c r="E46" s="0" t="s">
        <v>3077</v>
      </c>
      <c r="F46" s="0" t="s">
        <v>2989</v>
      </c>
      <c r="G46" s="0" t="s">
        <v>1655</v>
      </c>
    </row>
    <row customHeight="1" ht="11.25">
      <c r="A47" s="0" t="s">
        <v>16</v>
      </c>
      <c r="B47" s="0" t="s">
        <v>3062</v>
      </c>
      <c r="C47" s="0" t="s">
        <v>3063</v>
      </c>
      <c r="D47" s="0" t="s">
        <v>3078</v>
      </c>
      <c r="E47" s="0" t="s">
        <v>3079</v>
      </c>
      <c r="F47" s="0" t="s">
        <v>2989</v>
      </c>
      <c r="G47" s="0" t="s">
        <v>1661</v>
      </c>
    </row>
    <row customHeight="1" ht="11.25">
      <c r="A48" s="0" t="s">
        <v>16</v>
      </c>
      <c r="B48" s="0" t="s">
        <v>3062</v>
      </c>
      <c r="C48" s="0" t="s">
        <v>3063</v>
      </c>
      <c r="D48" s="0" t="s">
        <v>3080</v>
      </c>
      <c r="E48" s="0" t="s">
        <v>3081</v>
      </c>
      <c r="F48" s="0" t="s">
        <v>2989</v>
      </c>
      <c r="G48" s="0" t="s">
        <v>1666</v>
      </c>
    </row>
    <row customHeight="1" ht="11.25">
      <c r="A49" s="0" t="s">
        <v>16</v>
      </c>
      <c r="B49" s="0" t="s">
        <v>3062</v>
      </c>
      <c r="C49" s="0" t="s">
        <v>3063</v>
      </c>
      <c r="D49" s="0" t="s">
        <v>3082</v>
      </c>
      <c r="E49" s="0" t="s">
        <v>3083</v>
      </c>
      <c r="F49" s="0" t="s">
        <v>2989</v>
      </c>
      <c r="G49" s="0" t="s">
        <v>41</v>
      </c>
    </row>
    <row customHeight="1" ht="11.25">
      <c r="A50" s="0" t="s">
        <v>16</v>
      </c>
      <c r="B50" s="0" t="s">
        <v>3062</v>
      </c>
      <c r="C50" s="0" t="s">
        <v>3063</v>
      </c>
      <c r="D50" s="0" t="s">
        <v>3084</v>
      </c>
      <c r="E50" s="0" t="s">
        <v>3085</v>
      </c>
      <c r="F50" s="0" t="s">
        <v>2989</v>
      </c>
      <c r="G50" s="0" t="s">
        <v>1672</v>
      </c>
    </row>
    <row customHeight="1" ht="11.25">
      <c r="A51" s="0" t="s">
        <v>16</v>
      </c>
      <c r="B51" s="0" t="s">
        <v>3062</v>
      </c>
      <c r="C51" s="0" t="s">
        <v>3063</v>
      </c>
      <c r="D51" s="0" t="s">
        <v>3086</v>
      </c>
      <c r="E51" s="0" t="s">
        <v>3087</v>
      </c>
      <c r="F51" s="0" t="s">
        <v>2989</v>
      </c>
      <c r="G51" s="0" t="s">
        <v>1676</v>
      </c>
    </row>
    <row customHeight="1" ht="11.25">
      <c r="A52" s="0" t="s">
        <v>16</v>
      </c>
      <c r="B52" s="0" t="s">
        <v>3062</v>
      </c>
      <c r="C52" s="0" t="s">
        <v>3063</v>
      </c>
      <c r="D52" s="0" t="s">
        <v>3088</v>
      </c>
      <c r="E52" s="0" t="s">
        <v>3089</v>
      </c>
      <c r="F52" s="0" t="s">
        <v>2989</v>
      </c>
      <c r="G52" s="0" t="s">
        <v>1680</v>
      </c>
    </row>
    <row customHeight="1" ht="11.25">
      <c r="A53" s="0" t="s">
        <v>16</v>
      </c>
      <c r="B53" s="0" t="s">
        <v>3062</v>
      </c>
      <c r="C53" s="0" t="s">
        <v>3063</v>
      </c>
      <c r="D53" s="0" t="s">
        <v>3090</v>
      </c>
      <c r="E53" s="0" t="s">
        <v>3091</v>
      </c>
      <c r="F53" s="0" t="s">
        <v>2989</v>
      </c>
      <c r="G53" s="0" t="s">
        <v>1682</v>
      </c>
    </row>
    <row customHeight="1" ht="11.25">
      <c r="A54" s="0" t="s">
        <v>16</v>
      </c>
      <c r="B54" s="0" t="s">
        <v>3062</v>
      </c>
      <c r="C54" s="0" t="s">
        <v>3063</v>
      </c>
      <c r="D54" s="0" t="s">
        <v>3092</v>
      </c>
      <c r="E54" s="0" t="s">
        <v>3093</v>
      </c>
      <c r="F54" s="0" t="s">
        <v>3059</v>
      </c>
      <c r="G54" s="0" t="s">
        <v>1685</v>
      </c>
    </row>
    <row customHeight="1" ht="11.25">
      <c r="A55" s="0" t="s">
        <v>16</v>
      </c>
      <c r="B55" s="0" t="s">
        <v>3094</v>
      </c>
      <c r="C55" s="0" t="s">
        <v>3095</v>
      </c>
      <c r="D55" s="0" t="s">
        <v>3096</v>
      </c>
      <c r="E55" s="0" t="s">
        <v>3097</v>
      </c>
      <c r="F55" s="0" t="s">
        <v>2989</v>
      </c>
      <c r="G55" s="0" t="s">
        <v>1689</v>
      </c>
    </row>
    <row customHeight="1" ht="11.25">
      <c r="A56" s="0" t="s">
        <v>16</v>
      </c>
      <c r="B56" s="0" t="s">
        <v>3094</v>
      </c>
      <c r="C56" s="0" t="s">
        <v>3095</v>
      </c>
      <c r="D56" s="0" t="s">
        <v>3094</v>
      </c>
      <c r="E56" s="0" t="s">
        <v>3095</v>
      </c>
      <c r="F56" s="0" t="s">
        <v>2990</v>
      </c>
      <c r="G56" s="0" t="s">
        <v>1692</v>
      </c>
    </row>
    <row customHeight="1" ht="11.25">
      <c r="A57" s="0" t="s">
        <v>16</v>
      </c>
      <c r="B57" s="0" t="s">
        <v>3094</v>
      </c>
      <c r="C57" s="0" t="s">
        <v>3095</v>
      </c>
      <c r="D57" s="0" t="s">
        <v>3098</v>
      </c>
      <c r="E57" s="0" t="s">
        <v>3099</v>
      </c>
      <c r="F57" s="0" t="s">
        <v>2989</v>
      </c>
      <c r="G57" s="0" t="s">
        <v>1695</v>
      </c>
    </row>
    <row customHeight="1" ht="11.25">
      <c r="A58" s="0" t="s">
        <v>16</v>
      </c>
      <c r="B58" s="0" t="s">
        <v>3094</v>
      </c>
      <c r="C58" s="0" t="s">
        <v>3095</v>
      </c>
      <c r="D58" s="0" t="s">
        <v>3100</v>
      </c>
      <c r="E58" s="0" t="s">
        <v>3101</v>
      </c>
      <c r="F58" s="0" t="s">
        <v>2989</v>
      </c>
      <c r="G58" s="0" t="s">
        <v>1698</v>
      </c>
    </row>
    <row customHeight="1" ht="11.25">
      <c r="A59" s="0" t="s">
        <v>16</v>
      </c>
      <c r="B59" s="0" t="s">
        <v>3094</v>
      </c>
      <c r="C59" s="0" t="s">
        <v>3095</v>
      </c>
      <c r="D59" s="0" t="s">
        <v>3102</v>
      </c>
      <c r="E59" s="0" t="s">
        <v>3103</v>
      </c>
      <c r="F59" s="0" t="s">
        <v>2989</v>
      </c>
      <c r="G59" s="0" t="s">
        <v>1702</v>
      </c>
    </row>
    <row customHeight="1" ht="11.25">
      <c r="A60" s="0" t="s">
        <v>16</v>
      </c>
      <c r="B60" s="0" t="s">
        <v>3094</v>
      </c>
      <c r="C60" s="0" t="s">
        <v>3095</v>
      </c>
      <c r="D60" s="0" t="s">
        <v>3104</v>
      </c>
      <c r="E60" s="0" t="s">
        <v>3105</v>
      </c>
      <c r="F60" s="0" t="s">
        <v>2989</v>
      </c>
      <c r="G60" s="0" t="s">
        <v>1705</v>
      </c>
    </row>
    <row customHeight="1" ht="11.25">
      <c r="A61" s="0" t="s">
        <v>16</v>
      </c>
      <c r="B61" s="0" t="s">
        <v>3094</v>
      </c>
      <c r="C61" s="0" t="s">
        <v>3095</v>
      </c>
      <c r="D61" s="0" t="s">
        <v>3106</v>
      </c>
      <c r="E61" s="0" t="s">
        <v>3107</v>
      </c>
      <c r="F61" s="0" t="s">
        <v>2989</v>
      </c>
      <c r="G61" s="0" t="s">
        <v>3108</v>
      </c>
    </row>
    <row customHeight="1" ht="11.25">
      <c r="A62" s="0" t="s">
        <v>16</v>
      </c>
      <c r="B62" s="0" t="s">
        <v>3094</v>
      </c>
      <c r="C62" s="0" t="s">
        <v>3095</v>
      </c>
      <c r="D62" s="0" t="s">
        <v>3109</v>
      </c>
      <c r="E62" s="0" t="s">
        <v>3110</v>
      </c>
      <c r="F62" s="0" t="s">
        <v>2989</v>
      </c>
      <c r="G62" s="0" t="s">
        <v>3111</v>
      </c>
    </row>
    <row customHeight="1" ht="11.25">
      <c r="A63" s="0" t="s">
        <v>16</v>
      </c>
      <c r="B63" s="0" t="s">
        <v>3094</v>
      </c>
      <c r="C63" s="0" t="s">
        <v>3095</v>
      </c>
      <c r="D63" s="0" t="s">
        <v>3112</v>
      </c>
      <c r="E63" s="0" t="s">
        <v>3113</v>
      </c>
      <c r="F63" s="0" t="s">
        <v>3114</v>
      </c>
      <c r="G63" s="0" t="s">
        <v>3115</v>
      </c>
    </row>
    <row customHeight="1" ht="11.25">
      <c r="A64" s="0" t="s">
        <v>16</v>
      </c>
      <c r="B64" s="0" t="s">
        <v>3116</v>
      </c>
      <c r="C64" s="0" t="s">
        <v>3117</v>
      </c>
      <c r="D64" s="0" t="s">
        <v>3118</v>
      </c>
      <c r="E64" s="0" t="s">
        <v>3119</v>
      </c>
      <c r="F64" s="0" t="s">
        <v>2989</v>
      </c>
      <c r="G64" s="0" t="s">
        <v>3120</v>
      </c>
    </row>
    <row customHeight="1" ht="11.25">
      <c r="A65" s="0" t="s">
        <v>16</v>
      </c>
      <c r="B65" s="0" t="s">
        <v>3116</v>
      </c>
      <c r="C65" s="0" t="s">
        <v>3117</v>
      </c>
      <c r="D65" s="0" t="s">
        <v>3121</v>
      </c>
      <c r="E65" s="0" t="s">
        <v>3122</v>
      </c>
      <c r="F65" s="0" t="s">
        <v>2989</v>
      </c>
      <c r="G65" s="0" t="s">
        <v>3123</v>
      </c>
    </row>
    <row customHeight="1" ht="11.25">
      <c r="A66" s="0" t="s">
        <v>16</v>
      </c>
      <c r="B66" s="0" t="s">
        <v>3116</v>
      </c>
      <c r="C66" s="0" t="s">
        <v>3117</v>
      </c>
      <c r="D66" s="0" t="s">
        <v>3124</v>
      </c>
      <c r="E66" s="0" t="s">
        <v>3125</v>
      </c>
      <c r="F66" s="0" t="s">
        <v>2989</v>
      </c>
      <c r="G66" s="0" t="s">
        <v>3126</v>
      </c>
    </row>
    <row customHeight="1" ht="11.25">
      <c r="A67" s="0" t="s">
        <v>16</v>
      </c>
      <c r="B67" s="0" t="s">
        <v>3116</v>
      </c>
      <c r="C67" s="0" t="s">
        <v>3117</v>
      </c>
      <c r="D67" s="0" t="s">
        <v>3127</v>
      </c>
      <c r="E67" s="0" t="s">
        <v>3128</v>
      </c>
      <c r="F67" s="0" t="s">
        <v>2989</v>
      </c>
      <c r="G67" s="0" t="s">
        <v>47</v>
      </c>
    </row>
    <row customHeight="1" ht="11.25">
      <c r="A68" s="0" t="s">
        <v>16</v>
      </c>
      <c r="B68" s="0" t="s">
        <v>3116</v>
      </c>
      <c r="C68" s="0" t="s">
        <v>3117</v>
      </c>
      <c r="D68" s="0" t="s">
        <v>3116</v>
      </c>
      <c r="E68" s="0" t="s">
        <v>3117</v>
      </c>
      <c r="F68" s="0" t="s">
        <v>2990</v>
      </c>
      <c r="G68" s="0" t="s">
        <v>3129</v>
      </c>
    </row>
    <row customHeight="1" ht="11.25">
      <c r="A69" s="0" t="s">
        <v>16</v>
      </c>
      <c r="B69" s="0" t="s">
        <v>3116</v>
      </c>
      <c r="C69" s="0" t="s">
        <v>3117</v>
      </c>
      <c r="D69" s="0" t="s">
        <v>3130</v>
      </c>
      <c r="E69" s="0" t="s">
        <v>3131</v>
      </c>
      <c r="F69" s="0" t="s">
        <v>2989</v>
      </c>
      <c r="G69" s="0" t="s">
        <v>2226</v>
      </c>
    </row>
    <row customHeight="1" ht="11.25">
      <c r="A70" s="0" t="s">
        <v>16</v>
      </c>
      <c r="B70" s="0" t="s">
        <v>3116</v>
      </c>
      <c r="C70" s="0" t="s">
        <v>3117</v>
      </c>
      <c r="D70" s="0" t="s">
        <v>3132</v>
      </c>
      <c r="E70" s="0" t="s">
        <v>3133</v>
      </c>
      <c r="F70" s="0" t="s">
        <v>2989</v>
      </c>
      <c r="G70" s="0" t="s">
        <v>3134</v>
      </c>
    </row>
    <row customHeight="1" ht="11.25">
      <c r="A71" s="0" t="s">
        <v>16</v>
      </c>
      <c r="B71" s="0" t="s">
        <v>3116</v>
      </c>
      <c r="C71" s="0" t="s">
        <v>3117</v>
      </c>
      <c r="D71" s="0" t="s">
        <v>3135</v>
      </c>
      <c r="E71" s="0" t="s">
        <v>3136</v>
      </c>
      <c r="F71" s="0" t="s">
        <v>2989</v>
      </c>
      <c r="G71" s="0" t="s">
        <v>3137</v>
      </c>
    </row>
    <row customHeight="1" ht="11.25">
      <c r="A72" s="0" t="s">
        <v>16</v>
      </c>
      <c r="B72" s="0" t="s">
        <v>3116</v>
      </c>
      <c r="C72" s="0" t="s">
        <v>3117</v>
      </c>
      <c r="D72" s="0" t="s">
        <v>3138</v>
      </c>
      <c r="E72" s="0" t="s">
        <v>3139</v>
      </c>
      <c r="F72" s="0" t="s">
        <v>2989</v>
      </c>
      <c r="G72" s="0" t="s">
        <v>3140</v>
      </c>
    </row>
    <row customHeight="1" ht="11.25">
      <c r="A73" s="0" t="s">
        <v>16</v>
      </c>
      <c r="B73" s="0" t="s">
        <v>3116</v>
      </c>
      <c r="C73" s="0" t="s">
        <v>3117</v>
      </c>
      <c r="D73" s="0" t="s">
        <v>3141</v>
      </c>
      <c r="E73" s="0" t="s">
        <v>3142</v>
      </c>
      <c r="F73" s="0" t="s">
        <v>2989</v>
      </c>
      <c r="G73" s="0" t="s">
        <v>3143</v>
      </c>
    </row>
    <row customHeight="1" ht="11.25">
      <c r="A74" s="0" t="s">
        <v>16</v>
      </c>
      <c r="B74" s="0" t="s">
        <v>3116</v>
      </c>
      <c r="C74" s="0" t="s">
        <v>3117</v>
      </c>
      <c r="D74" s="0" t="s">
        <v>3144</v>
      </c>
      <c r="E74" s="0" t="s">
        <v>3145</v>
      </c>
      <c r="F74" s="0" t="s">
        <v>2989</v>
      </c>
      <c r="G74" s="0" t="s">
        <v>3146</v>
      </c>
    </row>
    <row customHeight="1" ht="11.25">
      <c r="A75" s="0" t="s">
        <v>16</v>
      </c>
      <c r="B75" s="0" t="s">
        <v>3116</v>
      </c>
      <c r="C75" s="0" t="s">
        <v>3117</v>
      </c>
      <c r="D75" s="0" t="s">
        <v>3147</v>
      </c>
      <c r="E75" s="0" t="s">
        <v>3148</v>
      </c>
      <c r="F75" s="0" t="s">
        <v>2989</v>
      </c>
      <c r="G75" s="0" t="s">
        <v>3149</v>
      </c>
    </row>
    <row customHeight="1" ht="11.25">
      <c r="A76" s="0" t="s">
        <v>16</v>
      </c>
      <c r="B76" s="0" t="s">
        <v>3116</v>
      </c>
      <c r="C76" s="0" t="s">
        <v>3117</v>
      </c>
      <c r="D76" s="0" t="s">
        <v>3150</v>
      </c>
      <c r="E76" s="0" t="s">
        <v>3151</v>
      </c>
      <c r="F76" s="0" t="s">
        <v>2989</v>
      </c>
      <c r="G76" s="0" t="s">
        <v>3152</v>
      </c>
    </row>
    <row customHeight="1" ht="11.25">
      <c r="A77" s="0" t="s">
        <v>16</v>
      </c>
      <c r="B77" s="0" t="s">
        <v>3116</v>
      </c>
      <c r="C77" s="0" t="s">
        <v>3117</v>
      </c>
      <c r="D77" s="0" t="s">
        <v>3153</v>
      </c>
      <c r="E77" s="0" t="s">
        <v>3154</v>
      </c>
      <c r="F77" s="0" t="s">
        <v>3059</v>
      </c>
      <c r="G77" s="0" t="s">
        <v>3155</v>
      </c>
    </row>
    <row customHeight="1" ht="11.25">
      <c r="A78" s="0" t="s">
        <v>16</v>
      </c>
      <c r="B78" s="0" t="s">
        <v>3156</v>
      </c>
      <c r="C78" s="0" t="s">
        <v>3157</v>
      </c>
      <c r="D78" s="0" t="s">
        <v>3158</v>
      </c>
      <c r="E78" s="0" t="s">
        <v>3159</v>
      </c>
      <c r="F78" s="0" t="s">
        <v>2989</v>
      </c>
      <c r="G78" s="0" t="s">
        <v>3160</v>
      </c>
    </row>
    <row customHeight="1" ht="11.25">
      <c r="A79" s="0" t="s">
        <v>16</v>
      </c>
      <c r="B79" s="0" t="s">
        <v>3156</v>
      </c>
      <c r="C79" s="0" t="s">
        <v>3157</v>
      </c>
      <c r="D79" s="0" t="s">
        <v>3161</v>
      </c>
      <c r="E79" s="0" t="s">
        <v>3162</v>
      </c>
      <c r="F79" s="0" t="s">
        <v>2989</v>
      </c>
      <c r="G79" s="0" t="s">
        <v>3163</v>
      </c>
    </row>
    <row customHeight="1" ht="11.25">
      <c r="A80" s="0" t="s">
        <v>16</v>
      </c>
      <c r="B80" s="0" t="s">
        <v>3156</v>
      </c>
      <c r="C80" s="0" t="s">
        <v>3157</v>
      </c>
      <c r="D80" s="0" t="s">
        <v>3164</v>
      </c>
      <c r="E80" s="0" t="s">
        <v>3165</v>
      </c>
      <c r="F80" s="0" t="s">
        <v>2989</v>
      </c>
      <c r="G80" s="0" t="s">
        <v>3166</v>
      </c>
    </row>
    <row customHeight="1" ht="11.25">
      <c r="A81" s="0" t="s">
        <v>16</v>
      </c>
      <c r="B81" s="0" t="s">
        <v>3156</v>
      </c>
      <c r="C81" s="0" t="s">
        <v>3157</v>
      </c>
      <c r="D81" s="0" t="s">
        <v>3167</v>
      </c>
      <c r="E81" s="0" t="s">
        <v>3168</v>
      </c>
      <c r="F81" s="0" t="s">
        <v>2989</v>
      </c>
      <c r="G81" s="0" t="s">
        <v>3169</v>
      </c>
    </row>
    <row customHeight="1" ht="11.25">
      <c r="A82" s="0" t="s">
        <v>16</v>
      </c>
      <c r="B82" s="0" t="s">
        <v>3156</v>
      </c>
      <c r="C82" s="0" t="s">
        <v>3157</v>
      </c>
      <c r="D82" s="0" t="s">
        <v>3170</v>
      </c>
      <c r="E82" s="0" t="s">
        <v>3171</v>
      </c>
      <c r="F82" s="0" t="s">
        <v>2989</v>
      </c>
      <c r="G82" s="0" t="s">
        <v>3172</v>
      </c>
    </row>
    <row customHeight="1" ht="11.25">
      <c r="A83" s="0" t="s">
        <v>16</v>
      </c>
      <c r="B83" s="0" t="s">
        <v>3156</v>
      </c>
      <c r="C83" s="0" t="s">
        <v>3157</v>
      </c>
      <c r="D83" s="0" t="s">
        <v>3156</v>
      </c>
      <c r="E83" s="0" t="s">
        <v>3157</v>
      </c>
      <c r="F83" s="0" t="s">
        <v>2990</v>
      </c>
      <c r="G83" s="0" t="s">
        <v>3173</v>
      </c>
    </row>
    <row customHeight="1" ht="11.25">
      <c r="A84" s="0" t="s">
        <v>16</v>
      </c>
      <c r="B84" s="0" t="s">
        <v>3156</v>
      </c>
      <c r="C84" s="0" t="s">
        <v>3157</v>
      </c>
      <c r="D84" s="0" t="s">
        <v>3174</v>
      </c>
      <c r="E84" s="0" t="s">
        <v>3175</v>
      </c>
      <c r="F84" s="0" t="s">
        <v>2989</v>
      </c>
      <c r="G84" s="0" t="s">
        <v>3176</v>
      </c>
    </row>
    <row customHeight="1" ht="11.25">
      <c r="A85" s="0" t="s">
        <v>16</v>
      </c>
      <c r="B85" s="0" t="s">
        <v>3156</v>
      </c>
      <c r="C85" s="0" t="s">
        <v>3157</v>
      </c>
      <c r="D85" s="0" t="s">
        <v>3177</v>
      </c>
      <c r="E85" s="0" t="s">
        <v>3178</v>
      </c>
      <c r="F85" s="0" t="s">
        <v>2989</v>
      </c>
      <c r="G85" s="0" t="s">
        <v>3179</v>
      </c>
    </row>
    <row customHeight="1" ht="11.25">
      <c r="A86" s="0" t="s">
        <v>16</v>
      </c>
      <c r="B86" s="0" t="s">
        <v>3156</v>
      </c>
      <c r="C86" s="0" t="s">
        <v>3157</v>
      </c>
      <c r="D86" s="0" t="s">
        <v>3180</v>
      </c>
      <c r="E86" s="0" t="s">
        <v>3181</v>
      </c>
      <c r="F86" s="0" t="s">
        <v>2989</v>
      </c>
      <c r="G86" s="0" t="s">
        <v>3182</v>
      </c>
    </row>
    <row customHeight="1" ht="11.25">
      <c r="A87" s="0" t="s">
        <v>16</v>
      </c>
      <c r="B87" s="0" t="s">
        <v>3156</v>
      </c>
      <c r="C87" s="0" t="s">
        <v>3157</v>
      </c>
      <c r="D87" s="0" t="s">
        <v>3183</v>
      </c>
      <c r="E87" s="0" t="s">
        <v>3184</v>
      </c>
      <c r="F87" s="0" t="s">
        <v>2989</v>
      </c>
      <c r="G87" s="0" t="s">
        <v>3185</v>
      </c>
    </row>
    <row customHeight="1" ht="11.25">
      <c r="A88" s="0" t="s">
        <v>16</v>
      </c>
      <c r="B88" s="0" t="s">
        <v>3156</v>
      </c>
      <c r="C88" s="0" t="s">
        <v>3157</v>
      </c>
      <c r="D88" s="0" t="s">
        <v>3186</v>
      </c>
      <c r="E88" s="0" t="s">
        <v>3187</v>
      </c>
      <c r="F88" s="0" t="s">
        <v>3059</v>
      </c>
      <c r="G88" s="0" t="s">
        <v>3188</v>
      </c>
    </row>
    <row customHeight="1" ht="11.25">
      <c r="A89" s="0" t="s">
        <v>16</v>
      </c>
      <c r="B89" s="0" t="s">
        <v>3189</v>
      </c>
      <c r="C89" s="0" t="s">
        <v>3190</v>
      </c>
      <c r="D89" s="0" t="s">
        <v>3035</v>
      </c>
      <c r="E89" s="0" t="s">
        <v>3191</v>
      </c>
      <c r="F89" s="0" t="s">
        <v>2989</v>
      </c>
      <c r="G89" s="0" t="s">
        <v>3192</v>
      </c>
    </row>
    <row customHeight="1" ht="11.25">
      <c r="A90" s="0" t="s">
        <v>16</v>
      </c>
      <c r="B90" s="0" t="s">
        <v>3189</v>
      </c>
      <c r="C90" s="0" t="s">
        <v>3190</v>
      </c>
      <c r="D90" s="0" t="s">
        <v>3193</v>
      </c>
      <c r="E90" s="0" t="s">
        <v>3194</v>
      </c>
      <c r="F90" s="0" t="s">
        <v>2989</v>
      </c>
      <c r="G90" s="0" t="s">
        <v>3195</v>
      </c>
    </row>
    <row customHeight="1" ht="11.25">
      <c r="A91" s="0" t="s">
        <v>16</v>
      </c>
      <c r="B91" s="0" t="s">
        <v>3189</v>
      </c>
      <c r="C91" s="0" t="s">
        <v>3190</v>
      </c>
      <c r="D91" s="0" t="s">
        <v>3196</v>
      </c>
      <c r="E91" s="0" t="s">
        <v>3197</v>
      </c>
      <c r="F91" s="0" t="s">
        <v>2989</v>
      </c>
      <c r="G91" s="0" t="s">
        <v>3198</v>
      </c>
    </row>
    <row customHeight="1" ht="11.25">
      <c r="A92" s="0" t="s">
        <v>16</v>
      </c>
      <c r="B92" s="0" t="s">
        <v>3189</v>
      </c>
      <c r="C92" s="0" t="s">
        <v>3190</v>
      </c>
      <c r="D92" s="0" t="s">
        <v>3199</v>
      </c>
      <c r="E92" s="0" t="s">
        <v>3200</v>
      </c>
      <c r="F92" s="0" t="s">
        <v>2989</v>
      </c>
      <c r="G92" s="0" t="s">
        <v>3201</v>
      </c>
    </row>
    <row customHeight="1" ht="11.25">
      <c r="A93" s="0" t="s">
        <v>16</v>
      </c>
      <c r="B93" s="0" t="s">
        <v>3189</v>
      </c>
      <c r="C93" s="0" t="s">
        <v>3190</v>
      </c>
      <c r="D93" s="0" t="s">
        <v>3202</v>
      </c>
      <c r="E93" s="0" t="s">
        <v>3203</v>
      </c>
      <c r="F93" s="0" t="s">
        <v>2989</v>
      </c>
      <c r="G93" s="0" t="s">
        <v>3204</v>
      </c>
    </row>
    <row customHeight="1" ht="11.25">
      <c r="A94" s="0" t="s">
        <v>16</v>
      </c>
      <c r="B94" s="0" t="s">
        <v>3189</v>
      </c>
      <c r="C94" s="0" t="s">
        <v>3190</v>
      </c>
      <c r="D94" s="0" t="s">
        <v>3189</v>
      </c>
      <c r="E94" s="0" t="s">
        <v>3190</v>
      </c>
      <c r="F94" s="0" t="s">
        <v>2990</v>
      </c>
      <c r="G94" s="0" t="s">
        <v>3205</v>
      </c>
    </row>
    <row customHeight="1" ht="11.25">
      <c r="A95" s="0" t="s">
        <v>16</v>
      </c>
      <c r="B95" s="0" t="s">
        <v>3189</v>
      </c>
      <c r="C95" s="0" t="s">
        <v>3190</v>
      </c>
      <c r="D95" s="0" t="s">
        <v>3206</v>
      </c>
      <c r="E95" s="0" t="s">
        <v>3207</v>
      </c>
      <c r="F95" s="0" t="s">
        <v>2989</v>
      </c>
      <c r="G95" s="0" t="s">
        <v>3208</v>
      </c>
    </row>
    <row customHeight="1" ht="11.25">
      <c r="A96" s="0" t="s">
        <v>16</v>
      </c>
      <c r="B96" s="0" t="s">
        <v>3189</v>
      </c>
      <c r="C96" s="0" t="s">
        <v>3190</v>
      </c>
      <c r="D96" s="0" t="s">
        <v>3209</v>
      </c>
      <c r="E96" s="0" t="s">
        <v>3210</v>
      </c>
      <c r="F96" s="0" t="s">
        <v>2989</v>
      </c>
      <c r="G96" s="0" t="s">
        <v>3211</v>
      </c>
    </row>
    <row customHeight="1" ht="11.25">
      <c r="A97" s="0" t="s">
        <v>16</v>
      </c>
      <c r="B97" s="0" t="s">
        <v>3189</v>
      </c>
      <c r="C97" s="0" t="s">
        <v>3190</v>
      </c>
      <c r="D97" s="0" t="s">
        <v>3212</v>
      </c>
      <c r="E97" s="0" t="s">
        <v>3213</v>
      </c>
      <c r="F97" s="0" t="s">
        <v>2989</v>
      </c>
      <c r="G97" s="0" t="s">
        <v>3214</v>
      </c>
    </row>
    <row customHeight="1" ht="11.25">
      <c r="A98" s="0" t="s">
        <v>16</v>
      </c>
      <c r="B98" s="0" t="s">
        <v>3189</v>
      </c>
      <c r="C98" s="0" t="s">
        <v>3190</v>
      </c>
      <c r="D98" s="0" t="s">
        <v>3215</v>
      </c>
      <c r="E98" s="0" t="s">
        <v>3216</v>
      </c>
      <c r="F98" s="0" t="s">
        <v>2989</v>
      </c>
      <c r="G98" s="0" t="s">
        <v>3217</v>
      </c>
    </row>
    <row customHeight="1" ht="11.25">
      <c r="A99" s="0" t="s">
        <v>16</v>
      </c>
      <c r="B99" s="0" t="s">
        <v>3189</v>
      </c>
      <c r="C99" s="0" t="s">
        <v>3190</v>
      </c>
      <c r="D99" s="0" t="s">
        <v>3218</v>
      </c>
      <c r="E99" s="0" t="s">
        <v>3219</v>
      </c>
      <c r="F99" s="0" t="s">
        <v>2989</v>
      </c>
      <c r="G99" s="0" t="s">
        <v>3220</v>
      </c>
    </row>
    <row customHeight="1" ht="11.25">
      <c r="A100" s="0" t="s">
        <v>16</v>
      </c>
      <c r="B100" s="0" t="s">
        <v>3189</v>
      </c>
      <c r="C100" s="0" t="s">
        <v>3190</v>
      </c>
      <c r="D100" s="0" t="s">
        <v>3221</v>
      </c>
      <c r="E100" s="0" t="s">
        <v>3222</v>
      </c>
      <c r="F100" s="0" t="s">
        <v>2989</v>
      </c>
      <c r="G100" s="0" t="s">
        <v>3223</v>
      </c>
    </row>
    <row customHeight="1" ht="11.25">
      <c r="A101" s="0" t="s">
        <v>16</v>
      </c>
      <c r="B101" s="0" t="s">
        <v>3189</v>
      </c>
      <c r="C101" s="0" t="s">
        <v>3190</v>
      </c>
      <c r="D101" s="0" t="s">
        <v>3224</v>
      </c>
      <c r="E101" s="0" t="s">
        <v>3225</v>
      </c>
      <c r="F101" s="0" t="s">
        <v>2989</v>
      </c>
      <c r="G101" s="0" t="s">
        <v>3226</v>
      </c>
    </row>
    <row customHeight="1" ht="11.25">
      <c r="A102" s="0" t="s">
        <v>16</v>
      </c>
      <c r="B102" s="0" t="s">
        <v>3189</v>
      </c>
      <c r="C102" s="0" t="s">
        <v>3190</v>
      </c>
      <c r="D102" s="0" t="s">
        <v>3227</v>
      </c>
      <c r="E102" s="0" t="s">
        <v>3228</v>
      </c>
      <c r="F102" s="0" t="s">
        <v>2989</v>
      </c>
      <c r="G102" s="0" t="s">
        <v>3229</v>
      </c>
    </row>
    <row customHeight="1" ht="11.25">
      <c r="A103" s="0" t="s">
        <v>16</v>
      </c>
      <c r="B103" s="0" t="s">
        <v>3189</v>
      </c>
      <c r="C103" s="0" t="s">
        <v>3190</v>
      </c>
      <c r="D103" s="0" t="s">
        <v>3230</v>
      </c>
      <c r="E103" s="0" t="s">
        <v>3231</v>
      </c>
      <c r="F103" s="0" t="s">
        <v>3059</v>
      </c>
      <c r="G103" s="0" t="s">
        <v>3232</v>
      </c>
    </row>
    <row customHeight="1" ht="11.25">
      <c r="A104" s="0" t="s">
        <v>16</v>
      </c>
      <c r="B104" s="0" t="s">
        <v>3189</v>
      </c>
      <c r="C104" s="0" t="s">
        <v>3190</v>
      </c>
      <c r="D104" s="0" t="s">
        <v>3233</v>
      </c>
      <c r="E104" s="0" t="s">
        <v>3234</v>
      </c>
      <c r="F104" s="0" t="s">
        <v>3059</v>
      </c>
      <c r="G104" s="0" t="s">
        <v>3235</v>
      </c>
    </row>
    <row customHeight="1" ht="11.25">
      <c r="A105" s="0" t="s">
        <v>16</v>
      </c>
      <c r="B105" s="0" t="s">
        <v>3189</v>
      </c>
      <c r="C105" s="0" t="s">
        <v>3190</v>
      </c>
      <c r="D105" s="0" t="s">
        <v>3236</v>
      </c>
      <c r="E105" s="0" t="s">
        <v>3237</v>
      </c>
      <c r="F105" s="0" t="s">
        <v>3059</v>
      </c>
      <c r="G105" s="0" t="s">
        <v>3238</v>
      </c>
    </row>
    <row customHeight="1" ht="11.25">
      <c r="A106" s="0" t="s">
        <v>16</v>
      </c>
      <c r="B106" s="0" t="s">
        <v>3239</v>
      </c>
      <c r="C106" s="0" t="s">
        <v>3240</v>
      </c>
      <c r="D106" s="0" t="s">
        <v>3241</v>
      </c>
      <c r="E106" s="0" t="s">
        <v>3242</v>
      </c>
      <c r="F106" s="0" t="s">
        <v>2989</v>
      </c>
      <c r="G106" s="0" t="s">
        <v>3243</v>
      </c>
    </row>
    <row customHeight="1" ht="11.25">
      <c r="A107" s="0" t="s">
        <v>16</v>
      </c>
      <c r="B107" s="0" t="s">
        <v>3239</v>
      </c>
      <c r="C107" s="0" t="s">
        <v>3240</v>
      </c>
      <c r="D107" s="0" t="s">
        <v>3244</v>
      </c>
      <c r="E107" s="0" t="s">
        <v>3245</v>
      </c>
      <c r="F107" s="0" t="s">
        <v>2989</v>
      </c>
      <c r="G107" s="0" t="s">
        <v>3246</v>
      </c>
    </row>
    <row customHeight="1" ht="11.25">
      <c r="A108" s="0" t="s">
        <v>16</v>
      </c>
      <c r="B108" s="0" t="s">
        <v>3239</v>
      </c>
      <c r="C108" s="0" t="s">
        <v>3240</v>
      </c>
      <c r="D108" s="0" t="s">
        <v>3247</v>
      </c>
      <c r="E108" s="0" t="s">
        <v>3248</v>
      </c>
      <c r="F108" s="0" t="s">
        <v>2989</v>
      </c>
      <c r="G108" s="0" t="s">
        <v>3249</v>
      </c>
    </row>
    <row customHeight="1" ht="11.25">
      <c r="A109" s="0" t="s">
        <v>16</v>
      </c>
      <c r="B109" s="0" t="s">
        <v>3239</v>
      </c>
      <c r="C109" s="0" t="s">
        <v>3240</v>
      </c>
      <c r="D109" s="0" t="s">
        <v>3239</v>
      </c>
      <c r="E109" s="0" t="s">
        <v>3240</v>
      </c>
      <c r="F109" s="0" t="s">
        <v>2990</v>
      </c>
      <c r="G109" s="0" t="s">
        <v>3250</v>
      </c>
    </row>
    <row customHeight="1" ht="11.25">
      <c r="A110" s="0" t="s">
        <v>16</v>
      </c>
      <c r="B110" s="0" t="s">
        <v>3239</v>
      </c>
      <c r="C110" s="0" t="s">
        <v>3240</v>
      </c>
      <c r="D110" s="0" t="s">
        <v>3251</v>
      </c>
      <c r="E110" s="0" t="s">
        <v>3252</v>
      </c>
      <c r="F110" s="0" t="s">
        <v>2989</v>
      </c>
      <c r="G110" s="0" t="s">
        <v>3253</v>
      </c>
    </row>
    <row customHeight="1" ht="11.25">
      <c r="A111" s="0" t="s">
        <v>16</v>
      </c>
      <c r="B111" s="0" t="s">
        <v>3239</v>
      </c>
      <c r="C111" s="0" t="s">
        <v>3240</v>
      </c>
      <c r="D111" s="0" t="s">
        <v>3254</v>
      </c>
      <c r="E111" s="0" t="s">
        <v>3255</v>
      </c>
      <c r="F111" s="0" t="s">
        <v>2989</v>
      </c>
      <c r="G111" s="0" t="s">
        <v>3256</v>
      </c>
    </row>
    <row customHeight="1" ht="11.25">
      <c r="A112" s="0" t="s">
        <v>16</v>
      </c>
      <c r="B112" s="0" t="s">
        <v>3239</v>
      </c>
      <c r="C112" s="0" t="s">
        <v>3240</v>
      </c>
      <c r="D112" s="0" t="s">
        <v>3257</v>
      </c>
      <c r="E112" s="0" t="s">
        <v>3258</v>
      </c>
      <c r="F112" s="0" t="s">
        <v>2989</v>
      </c>
      <c r="G112" s="0" t="s">
        <v>3259</v>
      </c>
    </row>
    <row customHeight="1" ht="11.25">
      <c r="A113" s="0" t="s">
        <v>16</v>
      </c>
      <c r="B113" s="0" t="s">
        <v>3239</v>
      </c>
      <c r="C113" s="0" t="s">
        <v>3240</v>
      </c>
      <c r="D113" s="0" t="s">
        <v>3260</v>
      </c>
      <c r="E113" s="0" t="s">
        <v>3261</v>
      </c>
      <c r="F113" s="0" t="s">
        <v>2989</v>
      </c>
      <c r="G113" s="0" t="s">
        <v>3262</v>
      </c>
    </row>
    <row customHeight="1" ht="11.25">
      <c r="A114" s="0" t="s">
        <v>16</v>
      </c>
      <c r="B114" s="0" t="s">
        <v>3239</v>
      </c>
      <c r="C114" s="0" t="s">
        <v>3240</v>
      </c>
      <c r="D114" s="0" t="s">
        <v>3263</v>
      </c>
      <c r="E114" s="0" t="s">
        <v>3264</v>
      </c>
      <c r="F114" s="0" t="s">
        <v>2989</v>
      </c>
      <c r="G114" s="0" t="s">
        <v>3265</v>
      </c>
    </row>
    <row customHeight="1" ht="11.25">
      <c r="A115" s="0" t="s">
        <v>16</v>
      </c>
      <c r="B115" s="0" t="s">
        <v>3239</v>
      </c>
      <c r="C115" s="0" t="s">
        <v>3240</v>
      </c>
      <c r="D115" s="0" t="s">
        <v>3266</v>
      </c>
      <c r="E115" s="0" t="s">
        <v>3267</v>
      </c>
      <c r="F115" s="0" t="s">
        <v>2989</v>
      </c>
      <c r="G115" s="0" t="s">
        <v>3268</v>
      </c>
    </row>
    <row customHeight="1" ht="11.25">
      <c r="A116" s="0" t="s">
        <v>16</v>
      </c>
      <c r="B116" s="0" t="s">
        <v>3239</v>
      </c>
      <c r="C116" s="0" t="s">
        <v>3240</v>
      </c>
      <c r="D116" s="0" t="s">
        <v>3269</v>
      </c>
      <c r="E116" s="0" t="s">
        <v>3270</v>
      </c>
      <c r="F116" s="0" t="s">
        <v>3059</v>
      </c>
      <c r="G116" s="0" t="s">
        <v>3271</v>
      </c>
    </row>
    <row customHeight="1" ht="11.25">
      <c r="A117" s="0" t="s">
        <v>16</v>
      </c>
      <c r="B117" s="0" t="s">
        <v>3272</v>
      </c>
      <c r="C117" s="0" t="s">
        <v>3273</v>
      </c>
      <c r="D117" s="0" t="s">
        <v>3274</v>
      </c>
      <c r="E117" s="0" t="s">
        <v>3275</v>
      </c>
      <c r="F117" s="0" t="s">
        <v>2989</v>
      </c>
      <c r="G117" s="0" t="s">
        <v>3276</v>
      </c>
    </row>
    <row customHeight="1" ht="11.25">
      <c r="A118" s="0" t="s">
        <v>16</v>
      </c>
      <c r="B118" s="0" t="s">
        <v>3272</v>
      </c>
      <c r="C118" s="0" t="s">
        <v>3273</v>
      </c>
      <c r="D118" s="0" t="s">
        <v>3277</v>
      </c>
      <c r="E118" s="0" t="s">
        <v>3278</v>
      </c>
      <c r="F118" s="0" t="s">
        <v>2989</v>
      </c>
      <c r="G118" s="0" t="s">
        <v>3279</v>
      </c>
    </row>
    <row customHeight="1" ht="11.25">
      <c r="A119" s="0" t="s">
        <v>16</v>
      </c>
      <c r="B119" s="0" t="s">
        <v>3272</v>
      </c>
      <c r="C119" s="0" t="s">
        <v>3273</v>
      </c>
      <c r="D119" s="0" t="s">
        <v>3272</v>
      </c>
      <c r="E119" s="0" t="s">
        <v>3273</v>
      </c>
      <c r="F119" s="0" t="s">
        <v>2990</v>
      </c>
      <c r="G119" s="0" t="s">
        <v>3280</v>
      </c>
    </row>
    <row customHeight="1" ht="11.25">
      <c r="A120" s="0" t="s">
        <v>16</v>
      </c>
      <c r="B120" s="0" t="s">
        <v>3272</v>
      </c>
      <c r="C120" s="0" t="s">
        <v>3273</v>
      </c>
      <c r="D120" s="0" t="s">
        <v>3281</v>
      </c>
      <c r="E120" s="0" t="s">
        <v>3282</v>
      </c>
      <c r="F120" s="0" t="s">
        <v>2989</v>
      </c>
      <c r="G120" s="0" t="s">
        <v>3283</v>
      </c>
    </row>
    <row customHeight="1" ht="11.25">
      <c r="A121" s="0" t="s">
        <v>16</v>
      </c>
      <c r="B121" s="0" t="s">
        <v>3272</v>
      </c>
      <c r="C121" s="0" t="s">
        <v>3273</v>
      </c>
      <c r="D121" s="0" t="s">
        <v>3023</v>
      </c>
      <c r="E121" s="0" t="s">
        <v>3284</v>
      </c>
      <c r="F121" s="0" t="s">
        <v>2989</v>
      </c>
      <c r="G121" s="0" t="s">
        <v>3285</v>
      </c>
    </row>
    <row customHeight="1" ht="11.25">
      <c r="A122" s="0" t="s">
        <v>16</v>
      </c>
      <c r="B122" s="0" t="s">
        <v>3272</v>
      </c>
      <c r="C122" s="0" t="s">
        <v>3273</v>
      </c>
      <c r="D122" s="0" t="s">
        <v>3286</v>
      </c>
      <c r="E122" s="0" t="s">
        <v>3287</v>
      </c>
      <c r="F122" s="0" t="s">
        <v>2989</v>
      </c>
      <c r="G122" s="0" t="s">
        <v>3288</v>
      </c>
    </row>
    <row customHeight="1" ht="11.25">
      <c r="A123" s="0" t="s">
        <v>16</v>
      </c>
      <c r="B123" s="0" t="s">
        <v>3272</v>
      </c>
      <c r="C123" s="0" t="s">
        <v>3273</v>
      </c>
      <c r="D123" s="0" t="s">
        <v>3289</v>
      </c>
      <c r="E123" s="0" t="s">
        <v>3290</v>
      </c>
      <c r="F123" s="0" t="s">
        <v>2989</v>
      </c>
      <c r="G123" s="0" t="s">
        <v>3291</v>
      </c>
    </row>
    <row customHeight="1" ht="11.25">
      <c r="A124" s="0" t="s">
        <v>16</v>
      </c>
      <c r="B124" s="0" t="s">
        <v>3272</v>
      </c>
      <c r="C124" s="0" t="s">
        <v>3273</v>
      </c>
      <c r="D124" s="0" t="s">
        <v>3292</v>
      </c>
      <c r="E124" s="0" t="s">
        <v>3293</v>
      </c>
      <c r="F124" s="0" t="s">
        <v>2989</v>
      </c>
      <c r="G124" s="0" t="s">
        <v>3294</v>
      </c>
    </row>
    <row customHeight="1" ht="11.25">
      <c r="A125" s="0" t="s">
        <v>16</v>
      </c>
      <c r="B125" s="0" t="s">
        <v>3272</v>
      </c>
      <c r="C125" s="0" t="s">
        <v>3273</v>
      </c>
      <c r="D125" s="0" t="s">
        <v>3295</v>
      </c>
      <c r="E125" s="0" t="s">
        <v>3296</v>
      </c>
      <c r="F125" s="0" t="s">
        <v>2989</v>
      </c>
      <c r="G125" s="0" t="s">
        <v>3297</v>
      </c>
    </row>
    <row customHeight="1" ht="11.25">
      <c r="A126" s="0" t="s">
        <v>16</v>
      </c>
      <c r="B126" s="0" t="s">
        <v>3272</v>
      </c>
      <c r="C126" s="0" t="s">
        <v>3273</v>
      </c>
      <c r="D126" s="0" t="s">
        <v>3298</v>
      </c>
      <c r="E126" s="0" t="s">
        <v>3299</v>
      </c>
      <c r="F126" s="0" t="s">
        <v>2989</v>
      </c>
      <c r="G126" s="0" t="s">
        <v>3300</v>
      </c>
    </row>
    <row customHeight="1" ht="11.25">
      <c r="A127" s="0" t="s">
        <v>16</v>
      </c>
      <c r="B127" s="0" t="s">
        <v>3272</v>
      </c>
      <c r="C127" s="0" t="s">
        <v>3273</v>
      </c>
      <c r="D127" s="0" t="s">
        <v>3301</v>
      </c>
      <c r="E127" s="0" t="s">
        <v>3302</v>
      </c>
      <c r="F127" s="0" t="s">
        <v>3059</v>
      </c>
      <c r="G127" s="0" t="s">
        <v>3303</v>
      </c>
    </row>
    <row customHeight="1" ht="11.25">
      <c r="A128" s="0" t="s">
        <v>16</v>
      </c>
      <c r="B128" s="0" t="s">
        <v>3304</v>
      </c>
      <c r="C128" s="0" t="s">
        <v>3305</v>
      </c>
      <c r="D128" s="0" t="s">
        <v>3306</v>
      </c>
      <c r="E128" s="0" t="s">
        <v>3307</v>
      </c>
      <c r="F128" s="0" t="s">
        <v>2989</v>
      </c>
      <c r="G128" s="0" t="s">
        <v>3308</v>
      </c>
    </row>
    <row customHeight="1" ht="11.25">
      <c r="A129" s="0" t="s">
        <v>16</v>
      </c>
      <c r="B129" s="0" t="s">
        <v>3304</v>
      </c>
      <c r="C129" s="0" t="s">
        <v>3305</v>
      </c>
      <c r="D129" s="0" t="s">
        <v>3309</v>
      </c>
      <c r="E129" s="0" t="s">
        <v>3310</v>
      </c>
      <c r="F129" s="0" t="s">
        <v>2989</v>
      </c>
      <c r="G129" s="0" t="s">
        <v>3311</v>
      </c>
    </row>
    <row customHeight="1" ht="11.25">
      <c r="A130" s="0" t="s">
        <v>16</v>
      </c>
      <c r="B130" s="0" t="s">
        <v>3304</v>
      </c>
      <c r="C130" s="0" t="s">
        <v>3305</v>
      </c>
      <c r="D130" s="0" t="s">
        <v>3312</v>
      </c>
      <c r="E130" s="0" t="s">
        <v>3313</v>
      </c>
      <c r="F130" s="0" t="s">
        <v>2989</v>
      </c>
      <c r="G130" s="0" t="s">
        <v>3314</v>
      </c>
    </row>
    <row customHeight="1" ht="11.25">
      <c r="A131" s="0" t="s">
        <v>16</v>
      </c>
      <c r="B131" s="0" t="s">
        <v>3304</v>
      </c>
      <c r="C131" s="0" t="s">
        <v>3305</v>
      </c>
      <c r="D131" s="0" t="s">
        <v>3315</v>
      </c>
      <c r="E131" s="0" t="s">
        <v>3316</v>
      </c>
      <c r="F131" s="0" t="s">
        <v>2989</v>
      </c>
      <c r="G131" s="0" t="s">
        <v>3317</v>
      </c>
    </row>
    <row customHeight="1" ht="11.25">
      <c r="A132" s="0" t="s">
        <v>16</v>
      </c>
      <c r="B132" s="0" t="s">
        <v>3304</v>
      </c>
      <c r="C132" s="0" t="s">
        <v>3305</v>
      </c>
      <c r="D132" s="0" t="s">
        <v>3318</v>
      </c>
      <c r="E132" s="0" t="s">
        <v>3319</v>
      </c>
      <c r="F132" s="0" t="s">
        <v>2989</v>
      </c>
      <c r="G132" s="0" t="s">
        <v>3320</v>
      </c>
    </row>
    <row customHeight="1" ht="11.25">
      <c r="A133" s="0" t="s">
        <v>16</v>
      </c>
      <c r="B133" s="0" t="s">
        <v>3304</v>
      </c>
      <c r="C133" s="0" t="s">
        <v>3305</v>
      </c>
      <c r="D133" s="0" t="s">
        <v>3321</v>
      </c>
      <c r="E133" s="0" t="s">
        <v>3322</v>
      </c>
      <c r="F133" s="0" t="s">
        <v>2989</v>
      </c>
      <c r="G133" s="0" t="s">
        <v>3323</v>
      </c>
    </row>
    <row customHeight="1" ht="11.25">
      <c r="A134" s="0" t="s">
        <v>16</v>
      </c>
      <c r="B134" s="0" t="s">
        <v>3304</v>
      </c>
      <c r="C134" s="0" t="s">
        <v>3305</v>
      </c>
      <c r="D134" s="0" t="s">
        <v>3304</v>
      </c>
      <c r="E134" s="0" t="s">
        <v>3305</v>
      </c>
      <c r="F134" s="0" t="s">
        <v>2990</v>
      </c>
      <c r="G134" s="0" t="s">
        <v>3324</v>
      </c>
    </row>
    <row customHeight="1" ht="11.25">
      <c r="A135" s="0" t="s">
        <v>16</v>
      </c>
      <c r="B135" s="0" t="s">
        <v>3304</v>
      </c>
      <c r="C135" s="0" t="s">
        <v>3305</v>
      </c>
      <c r="D135" s="0" t="s">
        <v>3325</v>
      </c>
      <c r="E135" s="0" t="s">
        <v>3326</v>
      </c>
      <c r="F135" s="0" t="s">
        <v>2989</v>
      </c>
      <c r="G135" s="0" t="s">
        <v>3327</v>
      </c>
    </row>
    <row customHeight="1" ht="11.25">
      <c r="A136" s="0" t="s">
        <v>16</v>
      </c>
      <c r="B136" s="0" t="s">
        <v>3304</v>
      </c>
      <c r="C136" s="0" t="s">
        <v>3305</v>
      </c>
      <c r="D136" s="0" t="s">
        <v>3328</v>
      </c>
      <c r="E136" s="0" t="s">
        <v>3329</v>
      </c>
      <c r="F136" s="0" t="s">
        <v>2989</v>
      </c>
      <c r="G136" s="0" t="s">
        <v>3330</v>
      </c>
    </row>
    <row customHeight="1" ht="11.25">
      <c r="A137" s="0" t="s">
        <v>16</v>
      </c>
      <c r="B137" s="0" t="s">
        <v>3304</v>
      </c>
      <c r="C137" s="0" t="s">
        <v>3305</v>
      </c>
      <c r="D137" s="0" t="s">
        <v>3331</v>
      </c>
      <c r="E137" s="0" t="s">
        <v>3332</v>
      </c>
      <c r="F137" s="0" t="s">
        <v>2989</v>
      </c>
      <c r="G137" s="0" t="s">
        <v>3333</v>
      </c>
    </row>
    <row customHeight="1" ht="11.25">
      <c r="A138" s="0" t="s">
        <v>16</v>
      </c>
      <c r="B138" s="0" t="s">
        <v>3304</v>
      </c>
      <c r="C138" s="0" t="s">
        <v>3305</v>
      </c>
      <c r="D138" s="0" t="s">
        <v>3334</v>
      </c>
      <c r="E138" s="0" t="s">
        <v>3335</v>
      </c>
      <c r="F138" s="0" t="s">
        <v>2989</v>
      </c>
      <c r="G138" s="0" t="s">
        <v>3336</v>
      </c>
    </row>
    <row customHeight="1" ht="11.25">
      <c r="A139" s="0" t="s">
        <v>16</v>
      </c>
      <c r="B139" s="0" t="s">
        <v>3304</v>
      </c>
      <c r="C139" s="0" t="s">
        <v>3305</v>
      </c>
      <c r="D139" s="0" t="s">
        <v>3337</v>
      </c>
      <c r="E139" s="0" t="s">
        <v>3338</v>
      </c>
      <c r="F139" s="0" t="s">
        <v>2989</v>
      </c>
      <c r="G139" s="0" t="s">
        <v>3339</v>
      </c>
    </row>
    <row customHeight="1" ht="11.25">
      <c r="A140" s="0" t="s">
        <v>16</v>
      </c>
      <c r="B140" s="0" t="s">
        <v>3304</v>
      </c>
      <c r="C140" s="0" t="s">
        <v>3305</v>
      </c>
      <c r="D140" s="0" t="s">
        <v>3340</v>
      </c>
      <c r="E140" s="0" t="s">
        <v>3341</v>
      </c>
      <c r="F140" s="0" t="s">
        <v>2989</v>
      </c>
      <c r="G140" s="0" t="s">
        <v>3342</v>
      </c>
    </row>
    <row customHeight="1" ht="11.25">
      <c r="A141" s="0" t="s">
        <v>16</v>
      </c>
      <c r="B141" s="0" t="s">
        <v>3304</v>
      </c>
      <c r="C141" s="0" t="s">
        <v>3305</v>
      </c>
      <c r="D141" s="0" t="s">
        <v>3343</v>
      </c>
      <c r="E141" s="0" t="s">
        <v>3344</v>
      </c>
      <c r="F141" s="0" t="s">
        <v>2989</v>
      </c>
      <c r="G141" s="0" t="s">
        <v>3345</v>
      </c>
    </row>
    <row customHeight="1" ht="11.25">
      <c r="A142" s="0" t="s">
        <v>16</v>
      </c>
      <c r="B142" s="0" t="s">
        <v>3304</v>
      </c>
      <c r="C142" s="0" t="s">
        <v>3305</v>
      </c>
      <c r="D142" s="0" t="s">
        <v>3346</v>
      </c>
      <c r="E142" s="0" t="s">
        <v>3347</v>
      </c>
      <c r="F142" s="0" t="s">
        <v>2989</v>
      </c>
      <c r="G142" s="0" t="s">
        <v>3348</v>
      </c>
    </row>
    <row customHeight="1" ht="11.25">
      <c r="A143" s="0" t="s">
        <v>16</v>
      </c>
      <c r="B143" s="0" t="s">
        <v>3304</v>
      </c>
      <c r="C143" s="0" t="s">
        <v>3305</v>
      </c>
      <c r="D143" s="0" t="s">
        <v>3144</v>
      </c>
      <c r="E143" s="0" t="s">
        <v>3349</v>
      </c>
      <c r="F143" s="0" t="s">
        <v>2989</v>
      </c>
      <c r="G143" s="0" t="s">
        <v>3350</v>
      </c>
    </row>
    <row customHeight="1" ht="11.25">
      <c r="A144" s="0" t="s">
        <v>16</v>
      </c>
      <c r="B144" s="0" t="s">
        <v>3304</v>
      </c>
      <c r="C144" s="0" t="s">
        <v>3305</v>
      </c>
      <c r="D144" s="0" t="s">
        <v>3351</v>
      </c>
      <c r="E144" s="0" t="s">
        <v>3352</v>
      </c>
      <c r="F144" s="0" t="s">
        <v>2989</v>
      </c>
      <c r="G144" s="0" t="s">
        <v>3353</v>
      </c>
    </row>
    <row customHeight="1" ht="11.25">
      <c r="A145" s="0" t="s">
        <v>16</v>
      </c>
      <c r="B145" s="0" t="s">
        <v>3304</v>
      </c>
      <c r="C145" s="0" t="s">
        <v>3305</v>
      </c>
      <c r="D145" s="0" t="s">
        <v>3354</v>
      </c>
      <c r="E145" s="0" t="s">
        <v>3355</v>
      </c>
      <c r="F145" s="0" t="s">
        <v>2989</v>
      </c>
      <c r="G145" s="0" t="s">
        <v>3356</v>
      </c>
    </row>
    <row customHeight="1" ht="11.25">
      <c r="A146" s="0" t="s">
        <v>16</v>
      </c>
      <c r="B146" s="0" t="s">
        <v>3357</v>
      </c>
      <c r="C146" s="0" t="s">
        <v>3358</v>
      </c>
      <c r="D146" s="0" t="s">
        <v>3359</v>
      </c>
      <c r="E146" s="0" t="s">
        <v>3360</v>
      </c>
      <c r="F146" s="0" t="s">
        <v>2989</v>
      </c>
      <c r="G146" s="0" t="s">
        <v>3361</v>
      </c>
    </row>
    <row customHeight="1" ht="11.25">
      <c r="A147" s="0" t="s">
        <v>16</v>
      </c>
      <c r="B147" s="0" t="s">
        <v>3357</v>
      </c>
      <c r="C147" s="0" t="s">
        <v>3358</v>
      </c>
      <c r="D147" s="0" t="s">
        <v>3362</v>
      </c>
      <c r="E147" s="0" t="s">
        <v>3363</v>
      </c>
      <c r="F147" s="0" t="s">
        <v>2989</v>
      </c>
      <c r="G147" s="0" t="s">
        <v>3364</v>
      </c>
    </row>
    <row customHeight="1" ht="11.25">
      <c r="A148" s="0" t="s">
        <v>16</v>
      </c>
      <c r="B148" s="0" t="s">
        <v>3357</v>
      </c>
      <c r="C148" s="0" t="s">
        <v>3358</v>
      </c>
      <c r="D148" s="0" t="s">
        <v>3365</v>
      </c>
      <c r="E148" s="0" t="s">
        <v>3366</v>
      </c>
      <c r="F148" s="0" t="s">
        <v>2989</v>
      </c>
      <c r="G148" s="0" t="s">
        <v>3367</v>
      </c>
    </row>
    <row customHeight="1" ht="11.25">
      <c r="A149" s="0" t="s">
        <v>16</v>
      </c>
      <c r="B149" s="0" t="s">
        <v>3357</v>
      </c>
      <c r="C149" s="0" t="s">
        <v>3358</v>
      </c>
      <c r="D149" s="0" t="s">
        <v>3368</v>
      </c>
      <c r="E149" s="0" t="s">
        <v>3369</v>
      </c>
      <c r="F149" s="0" t="s">
        <v>2989</v>
      </c>
      <c r="G149" s="0" t="s">
        <v>3370</v>
      </c>
    </row>
    <row customHeight="1" ht="11.25">
      <c r="A150" s="0" t="s">
        <v>16</v>
      </c>
      <c r="B150" s="0" t="s">
        <v>3357</v>
      </c>
      <c r="C150" s="0" t="s">
        <v>3358</v>
      </c>
      <c r="D150" s="0" t="s">
        <v>3357</v>
      </c>
      <c r="E150" s="0" t="s">
        <v>3358</v>
      </c>
      <c r="F150" s="0" t="s">
        <v>2990</v>
      </c>
      <c r="G150" s="0" t="s">
        <v>3371</v>
      </c>
    </row>
    <row customHeight="1" ht="11.25">
      <c r="A151" s="0" t="s">
        <v>16</v>
      </c>
      <c r="B151" s="0" t="s">
        <v>3357</v>
      </c>
      <c r="C151" s="0" t="s">
        <v>3358</v>
      </c>
      <c r="D151" s="0" t="s">
        <v>3372</v>
      </c>
      <c r="E151" s="0" t="s">
        <v>3373</v>
      </c>
      <c r="F151" s="0" t="s">
        <v>2989</v>
      </c>
      <c r="G151" s="0" t="s">
        <v>3374</v>
      </c>
    </row>
    <row customHeight="1" ht="11.25">
      <c r="A152" s="0" t="s">
        <v>16</v>
      </c>
      <c r="B152" s="0" t="s">
        <v>3357</v>
      </c>
      <c r="C152" s="0" t="s">
        <v>3358</v>
      </c>
      <c r="D152" s="0" t="s">
        <v>3375</v>
      </c>
      <c r="E152" s="0" t="s">
        <v>3376</v>
      </c>
      <c r="F152" s="0" t="s">
        <v>2989</v>
      </c>
      <c r="G152" s="0" t="s">
        <v>3377</v>
      </c>
    </row>
    <row customHeight="1" ht="11.25">
      <c r="A153" s="0" t="s">
        <v>16</v>
      </c>
      <c r="B153" s="0" t="s">
        <v>3357</v>
      </c>
      <c r="C153" s="0" t="s">
        <v>3358</v>
      </c>
      <c r="D153" s="0" t="s">
        <v>3378</v>
      </c>
      <c r="E153" s="0" t="s">
        <v>3379</v>
      </c>
      <c r="F153" s="0" t="s">
        <v>3059</v>
      </c>
      <c r="G153" s="0" t="s">
        <v>3380</v>
      </c>
    </row>
    <row customHeight="1" ht="11.25">
      <c r="A154" s="0" t="s">
        <v>16</v>
      </c>
      <c r="B154" s="0" t="s">
        <v>3357</v>
      </c>
      <c r="C154" s="0" t="s">
        <v>3358</v>
      </c>
      <c r="D154" s="0" t="s">
        <v>3381</v>
      </c>
      <c r="E154" s="0" t="s">
        <v>3382</v>
      </c>
      <c r="F154" s="0" t="s">
        <v>3059</v>
      </c>
      <c r="G154" s="0" t="s">
        <v>3383</v>
      </c>
    </row>
    <row customHeight="1" ht="11.25">
      <c r="A155" s="0" t="s">
        <v>16</v>
      </c>
      <c r="B155" s="0" t="s">
        <v>3384</v>
      </c>
      <c r="C155" s="0" t="s">
        <v>3385</v>
      </c>
      <c r="D155" s="0" t="s">
        <v>3386</v>
      </c>
      <c r="E155" s="0" t="s">
        <v>3387</v>
      </c>
      <c r="F155" s="0" t="s">
        <v>2989</v>
      </c>
      <c r="G155" s="0" t="s">
        <v>3388</v>
      </c>
    </row>
    <row customHeight="1" ht="11.25">
      <c r="A156" s="0" t="s">
        <v>16</v>
      </c>
      <c r="B156" s="0" t="s">
        <v>3384</v>
      </c>
      <c r="C156" s="0" t="s">
        <v>3385</v>
      </c>
      <c r="D156" s="0" t="s">
        <v>3389</v>
      </c>
      <c r="E156" s="0" t="s">
        <v>3390</v>
      </c>
      <c r="F156" s="0" t="s">
        <v>2989</v>
      </c>
      <c r="G156" s="0" t="s">
        <v>3391</v>
      </c>
    </row>
    <row customHeight="1" ht="11.25">
      <c r="A157" s="0" t="s">
        <v>16</v>
      </c>
      <c r="B157" s="0" t="s">
        <v>3384</v>
      </c>
      <c r="C157" s="0" t="s">
        <v>3385</v>
      </c>
      <c r="D157" s="0" t="s">
        <v>3392</v>
      </c>
      <c r="E157" s="0" t="s">
        <v>3393</v>
      </c>
      <c r="F157" s="0" t="s">
        <v>2989</v>
      </c>
      <c r="G157" s="0" t="s">
        <v>3394</v>
      </c>
    </row>
    <row customHeight="1" ht="11.25">
      <c r="A158" s="0" t="s">
        <v>16</v>
      </c>
      <c r="B158" s="0" t="s">
        <v>3384</v>
      </c>
      <c r="C158" s="0" t="s">
        <v>3385</v>
      </c>
      <c r="D158" s="0" t="s">
        <v>3395</v>
      </c>
      <c r="E158" s="0" t="s">
        <v>3396</v>
      </c>
      <c r="F158" s="0" t="s">
        <v>2989</v>
      </c>
      <c r="G158" s="0" t="s">
        <v>3397</v>
      </c>
    </row>
    <row customHeight="1" ht="11.25">
      <c r="A159" s="0" t="s">
        <v>16</v>
      </c>
      <c r="B159" s="0" t="s">
        <v>3384</v>
      </c>
      <c r="C159" s="0" t="s">
        <v>3385</v>
      </c>
      <c r="D159" s="0" t="s">
        <v>3398</v>
      </c>
      <c r="E159" s="0" t="s">
        <v>3399</v>
      </c>
      <c r="F159" s="0" t="s">
        <v>2989</v>
      </c>
      <c r="G159" s="0" t="s">
        <v>3400</v>
      </c>
    </row>
    <row customHeight="1" ht="11.25">
      <c r="A160" s="0" t="s">
        <v>16</v>
      </c>
      <c r="B160" s="0" t="s">
        <v>3384</v>
      </c>
      <c r="C160" s="0" t="s">
        <v>3385</v>
      </c>
      <c r="D160" s="0" t="s">
        <v>3401</v>
      </c>
      <c r="E160" s="0" t="s">
        <v>3402</v>
      </c>
      <c r="F160" s="0" t="s">
        <v>2989</v>
      </c>
      <c r="G160" s="0" t="s">
        <v>3403</v>
      </c>
    </row>
    <row customHeight="1" ht="11.25">
      <c r="A161" s="0" t="s">
        <v>16</v>
      </c>
      <c r="B161" s="0" t="s">
        <v>3384</v>
      </c>
      <c r="C161" s="0" t="s">
        <v>3385</v>
      </c>
      <c r="D161" s="0" t="s">
        <v>3384</v>
      </c>
      <c r="E161" s="0" t="s">
        <v>3385</v>
      </c>
      <c r="F161" s="0" t="s">
        <v>2990</v>
      </c>
      <c r="G161" s="0" t="s">
        <v>3404</v>
      </c>
    </row>
    <row customHeight="1" ht="11.25">
      <c r="A162" s="0" t="s">
        <v>16</v>
      </c>
      <c r="B162" s="0" t="s">
        <v>3384</v>
      </c>
      <c r="C162" s="0" t="s">
        <v>3385</v>
      </c>
      <c r="D162" s="0" t="s">
        <v>3405</v>
      </c>
      <c r="E162" s="0" t="s">
        <v>3406</v>
      </c>
      <c r="F162" s="0" t="s">
        <v>2989</v>
      </c>
      <c r="G162" s="0" t="s">
        <v>3407</v>
      </c>
    </row>
    <row customHeight="1" ht="11.25">
      <c r="A163" s="0" t="s">
        <v>16</v>
      </c>
      <c r="B163" s="0" t="s">
        <v>3384</v>
      </c>
      <c r="C163" s="0" t="s">
        <v>3385</v>
      </c>
      <c r="D163" s="0" t="s">
        <v>3408</v>
      </c>
      <c r="E163" s="0" t="s">
        <v>3409</v>
      </c>
      <c r="F163" s="0" t="s">
        <v>2989</v>
      </c>
      <c r="G163" s="0" t="s">
        <v>3410</v>
      </c>
    </row>
    <row customHeight="1" ht="11.25">
      <c r="A164" s="0" t="s">
        <v>16</v>
      </c>
      <c r="B164" s="0" t="s">
        <v>3411</v>
      </c>
      <c r="C164" s="0" t="s">
        <v>3412</v>
      </c>
      <c r="D164" s="0" t="s">
        <v>3413</v>
      </c>
      <c r="E164" s="0" t="s">
        <v>3414</v>
      </c>
      <c r="F164" s="0" t="s">
        <v>2989</v>
      </c>
      <c r="G164" s="0" t="s">
        <v>3415</v>
      </c>
    </row>
    <row customHeight="1" ht="11.25">
      <c r="A165" s="0" t="s">
        <v>16</v>
      </c>
      <c r="B165" s="0" t="s">
        <v>3411</v>
      </c>
      <c r="C165" s="0" t="s">
        <v>3412</v>
      </c>
      <c r="D165" s="0" t="s">
        <v>3416</v>
      </c>
      <c r="E165" s="0" t="s">
        <v>3417</v>
      </c>
      <c r="F165" s="0" t="s">
        <v>2989</v>
      </c>
      <c r="G165" s="0" t="s">
        <v>3418</v>
      </c>
    </row>
    <row customHeight="1" ht="11.25">
      <c r="A166" s="0" t="s">
        <v>16</v>
      </c>
      <c r="B166" s="0" t="s">
        <v>3411</v>
      </c>
      <c r="C166" s="0" t="s">
        <v>3412</v>
      </c>
      <c r="D166" s="0" t="s">
        <v>3411</v>
      </c>
      <c r="E166" s="0" t="s">
        <v>3412</v>
      </c>
      <c r="F166" s="0" t="s">
        <v>2990</v>
      </c>
      <c r="G166" s="0" t="s">
        <v>3419</v>
      </c>
    </row>
    <row customHeight="1" ht="11.25">
      <c r="A167" s="0" t="s">
        <v>16</v>
      </c>
      <c r="B167" s="0" t="s">
        <v>3411</v>
      </c>
      <c r="C167" s="0" t="s">
        <v>3412</v>
      </c>
      <c r="D167" s="0" t="s">
        <v>3420</v>
      </c>
      <c r="E167" s="0" t="s">
        <v>3421</v>
      </c>
      <c r="F167" s="0" t="s">
        <v>2989</v>
      </c>
      <c r="G167" s="0" t="s">
        <v>3422</v>
      </c>
    </row>
    <row customHeight="1" ht="11.25">
      <c r="A168" s="0" t="s">
        <v>16</v>
      </c>
      <c r="B168" s="0" t="s">
        <v>3411</v>
      </c>
      <c r="C168" s="0" t="s">
        <v>3412</v>
      </c>
      <c r="D168" s="0" t="s">
        <v>3423</v>
      </c>
      <c r="E168" s="0" t="s">
        <v>3424</v>
      </c>
      <c r="F168" s="0" t="s">
        <v>2989</v>
      </c>
      <c r="G168" s="0" t="s">
        <v>3425</v>
      </c>
    </row>
    <row customHeight="1" ht="11.25">
      <c r="A169" s="0" t="s">
        <v>16</v>
      </c>
      <c r="B169" s="0" t="s">
        <v>3411</v>
      </c>
      <c r="C169" s="0" t="s">
        <v>3412</v>
      </c>
      <c r="D169" s="0" t="s">
        <v>3426</v>
      </c>
      <c r="E169" s="0" t="s">
        <v>3427</v>
      </c>
      <c r="F169" s="0" t="s">
        <v>2989</v>
      </c>
      <c r="G169" s="0" t="s">
        <v>3428</v>
      </c>
    </row>
    <row customHeight="1" ht="11.25">
      <c r="A170" s="0" t="s">
        <v>16</v>
      </c>
      <c r="B170" s="0" t="s">
        <v>3411</v>
      </c>
      <c r="C170" s="0" t="s">
        <v>3412</v>
      </c>
      <c r="D170" s="0" t="s">
        <v>3429</v>
      </c>
      <c r="E170" s="0" t="s">
        <v>3430</v>
      </c>
      <c r="F170" s="0" t="s">
        <v>2989</v>
      </c>
      <c r="G170" s="0" t="s">
        <v>3431</v>
      </c>
    </row>
    <row customHeight="1" ht="11.25">
      <c r="A171" s="0" t="s">
        <v>16</v>
      </c>
      <c r="B171" s="0" t="s">
        <v>3411</v>
      </c>
      <c r="C171" s="0" t="s">
        <v>3412</v>
      </c>
      <c r="D171" s="0" t="s">
        <v>3432</v>
      </c>
      <c r="E171" s="0" t="s">
        <v>3433</v>
      </c>
      <c r="F171" s="0" t="s">
        <v>2989</v>
      </c>
      <c r="G171" s="0" t="s">
        <v>3434</v>
      </c>
    </row>
    <row customHeight="1" ht="11.25">
      <c r="A172" s="0" t="s">
        <v>16</v>
      </c>
      <c r="B172" s="0" t="s">
        <v>3435</v>
      </c>
      <c r="C172" s="0" t="s">
        <v>3436</v>
      </c>
      <c r="D172" s="0" t="s">
        <v>3437</v>
      </c>
      <c r="E172" s="0" t="s">
        <v>3438</v>
      </c>
      <c r="F172" s="0" t="s">
        <v>2989</v>
      </c>
      <c r="G172" s="0" t="s">
        <v>3439</v>
      </c>
    </row>
    <row customHeight="1" ht="11.25">
      <c r="A173" s="0" t="s">
        <v>16</v>
      </c>
      <c r="B173" s="0" t="s">
        <v>3435</v>
      </c>
      <c r="C173" s="0" t="s">
        <v>3436</v>
      </c>
      <c r="D173" s="0" t="s">
        <v>3440</v>
      </c>
      <c r="E173" s="0" t="s">
        <v>3441</v>
      </c>
      <c r="F173" s="0" t="s">
        <v>2989</v>
      </c>
      <c r="G173" s="0" t="s">
        <v>3442</v>
      </c>
    </row>
    <row customHeight="1" ht="11.25">
      <c r="A174" s="0" t="s">
        <v>16</v>
      </c>
      <c r="B174" s="0" t="s">
        <v>3435</v>
      </c>
      <c r="C174" s="0" t="s">
        <v>3436</v>
      </c>
      <c r="D174" s="0" t="s">
        <v>3443</v>
      </c>
      <c r="E174" s="0" t="s">
        <v>3444</v>
      </c>
      <c r="F174" s="0" t="s">
        <v>2989</v>
      </c>
      <c r="G174" s="0" t="s">
        <v>3445</v>
      </c>
    </row>
    <row customHeight="1" ht="11.25">
      <c r="A175" s="0" t="s">
        <v>16</v>
      </c>
      <c r="B175" s="0" t="s">
        <v>3435</v>
      </c>
      <c r="C175" s="0" t="s">
        <v>3436</v>
      </c>
      <c r="D175" s="0" t="s">
        <v>3446</v>
      </c>
      <c r="E175" s="0" t="s">
        <v>3447</v>
      </c>
      <c r="F175" s="0" t="s">
        <v>2989</v>
      </c>
      <c r="G175" s="0" t="s">
        <v>3448</v>
      </c>
    </row>
    <row customHeight="1" ht="11.25">
      <c r="A176" s="0" t="s">
        <v>16</v>
      </c>
      <c r="B176" s="0" t="s">
        <v>3435</v>
      </c>
      <c r="C176" s="0" t="s">
        <v>3436</v>
      </c>
      <c r="D176" s="0" t="s">
        <v>3449</v>
      </c>
      <c r="E176" s="0" t="s">
        <v>3450</v>
      </c>
      <c r="F176" s="0" t="s">
        <v>2989</v>
      </c>
      <c r="G176" s="0" t="s">
        <v>3451</v>
      </c>
    </row>
    <row customHeight="1" ht="11.25">
      <c r="A177" s="0" t="s">
        <v>16</v>
      </c>
      <c r="B177" s="0" t="s">
        <v>3435</v>
      </c>
      <c r="C177" s="0" t="s">
        <v>3436</v>
      </c>
      <c r="D177" s="0" t="s">
        <v>3435</v>
      </c>
      <c r="E177" s="0" t="s">
        <v>3436</v>
      </c>
      <c r="F177" s="0" t="s">
        <v>2990</v>
      </c>
      <c r="G177" s="0" t="s">
        <v>3452</v>
      </c>
    </row>
    <row customHeight="1" ht="11.25">
      <c r="A178" s="0" t="s">
        <v>16</v>
      </c>
      <c r="B178" s="0" t="s">
        <v>3435</v>
      </c>
      <c r="C178" s="0" t="s">
        <v>3436</v>
      </c>
      <c r="D178" s="0" t="s">
        <v>3453</v>
      </c>
      <c r="E178" s="0" t="s">
        <v>3454</v>
      </c>
      <c r="F178" s="0" t="s">
        <v>2989</v>
      </c>
      <c r="G178" s="0" t="s">
        <v>3455</v>
      </c>
    </row>
    <row customHeight="1" ht="11.25">
      <c r="A179" s="0" t="s">
        <v>16</v>
      </c>
      <c r="B179" s="0" t="s">
        <v>3435</v>
      </c>
      <c r="C179" s="0" t="s">
        <v>3436</v>
      </c>
      <c r="D179" s="0" t="s">
        <v>3456</v>
      </c>
      <c r="E179" s="0" t="s">
        <v>3457</v>
      </c>
      <c r="F179" s="0" t="s">
        <v>2989</v>
      </c>
      <c r="G179" s="0" t="s">
        <v>3458</v>
      </c>
    </row>
    <row customHeight="1" ht="11.25">
      <c r="A180" s="0" t="s">
        <v>16</v>
      </c>
      <c r="B180" s="0" t="s">
        <v>3435</v>
      </c>
      <c r="C180" s="0" t="s">
        <v>3436</v>
      </c>
      <c r="D180" s="0" t="s">
        <v>3459</v>
      </c>
      <c r="E180" s="0" t="s">
        <v>3460</v>
      </c>
      <c r="F180" s="0" t="s">
        <v>2989</v>
      </c>
      <c r="G180" s="0" t="s">
        <v>3461</v>
      </c>
    </row>
    <row customHeight="1" ht="11.25">
      <c r="A181" s="0" t="s">
        <v>16</v>
      </c>
      <c r="B181" s="0" t="s">
        <v>3435</v>
      </c>
      <c r="C181" s="0" t="s">
        <v>3436</v>
      </c>
      <c r="D181" s="0" t="s">
        <v>3462</v>
      </c>
      <c r="E181" s="0" t="s">
        <v>3463</v>
      </c>
      <c r="F181" s="0" t="s">
        <v>2989</v>
      </c>
      <c r="G181" s="0" t="s">
        <v>3464</v>
      </c>
    </row>
    <row customHeight="1" ht="11.25">
      <c r="A182" s="0" t="s">
        <v>16</v>
      </c>
      <c r="B182" s="0" t="s">
        <v>3435</v>
      </c>
      <c r="C182" s="0" t="s">
        <v>3436</v>
      </c>
      <c r="D182" s="0" t="s">
        <v>3465</v>
      </c>
      <c r="E182" s="0" t="s">
        <v>3466</v>
      </c>
      <c r="F182" s="0" t="s">
        <v>3059</v>
      </c>
      <c r="G182" s="0" t="s">
        <v>3467</v>
      </c>
    </row>
    <row customHeight="1" ht="11.25">
      <c r="A183" s="0" t="s">
        <v>16</v>
      </c>
      <c r="B183" s="0" t="s">
        <v>3468</v>
      </c>
      <c r="C183" s="0" t="s">
        <v>3469</v>
      </c>
      <c r="D183" s="0" t="s">
        <v>3470</v>
      </c>
      <c r="E183" s="0" t="s">
        <v>3471</v>
      </c>
      <c r="F183" s="0" t="s">
        <v>2989</v>
      </c>
      <c r="G183" s="0" t="s">
        <v>3472</v>
      </c>
    </row>
    <row customHeight="1" ht="11.25">
      <c r="A184" s="0" t="s">
        <v>16</v>
      </c>
      <c r="B184" s="0" t="s">
        <v>3468</v>
      </c>
      <c r="C184" s="0" t="s">
        <v>3469</v>
      </c>
      <c r="D184" s="0" t="s">
        <v>3473</v>
      </c>
      <c r="E184" s="0" t="s">
        <v>3474</v>
      </c>
      <c r="F184" s="0" t="s">
        <v>2989</v>
      </c>
      <c r="G184" s="0" t="s">
        <v>3475</v>
      </c>
    </row>
    <row customHeight="1" ht="11.25">
      <c r="A185" s="0" t="s">
        <v>16</v>
      </c>
      <c r="B185" s="0" t="s">
        <v>3468</v>
      </c>
      <c r="C185" s="0" t="s">
        <v>3469</v>
      </c>
      <c r="D185" s="0" t="s">
        <v>3476</v>
      </c>
      <c r="E185" s="0" t="s">
        <v>3477</v>
      </c>
      <c r="F185" s="0" t="s">
        <v>2989</v>
      </c>
      <c r="G185" s="0" t="s">
        <v>3478</v>
      </c>
    </row>
    <row customHeight="1" ht="11.25">
      <c r="A186" s="0" t="s">
        <v>16</v>
      </c>
      <c r="B186" s="0" t="s">
        <v>3468</v>
      </c>
      <c r="C186" s="0" t="s">
        <v>3469</v>
      </c>
      <c r="D186" s="0" t="s">
        <v>3479</v>
      </c>
      <c r="E186" s="0" t="s">
        <v>3480</v>
      </c>
      <c r="F186" s="0" t="s">
        <v>2989</v>
      </c>
      <c r="G186" s="0" t="s">
        <v>3481</v>
      </c>
    </row>
    <row customHeight="1" ht="11.25">
      <c r="A187" s="0" t="s">
        <v>16</v>
      </c>
      <c r="B187" s="0" t="s">
        <v>3468</v>
      </c>
      <c r="C187" s="0" t="s">
        <v>3469</v>
      </c>
      <c r="D187" s="0" t="s">
        <v>3482</v>
      </c>
      <c r="E187" s="0" t="s">
        <v>3483</v>
      </c>
      <c r="F187" s="0" t="s">
        <v>2989</v>
      </c>
      <c r="G187" s="0" t="s">
        <v>3484</v>
      </c>
    </row>
    <row customHeight="1" ht="11.25">
      <c r="A188" s="0" t="s">
        <v>16</v>
      </c>
      <c r="B188" s="0" t="s">
        <v>3468</v>
      </c>
      <c r="C188" s="0" t="s">
        <v>3469</v>
      </c>
      <c r="D188" s="0" t="s">
        <v>3485</v>
      </c>
      <c r="E188" s="0" t="s">
        <v>3486</v>
      </c>
      <c r="F188" s="0" t="s">
        <v>2989</v>
      </c>
      <c r="G188" s="0" t="s">
        <v>3487</v>
      </c>
    </row>
    <row customHeight="1" ht="11.25">
      <c r="A189" s="0" t="s">
        <v>16</v>
      </c>
      <c r="B189" s="0" t="s">
        <v>3468</v>
      </c>
      <c r="C189" s="0" t="s">
        <v>3469</v>
      </c>
      <c r="D189" s="0" t="s">
        <v>3488</v>
      </c>
      <c r="E189" s="0" t="s">
        <v>3489</v>
      </c>
      <c r="F189" s="0" t="s">
        <v>2989</v>
      </c>
      <c r="G189" s="0" t="s">
        <v>3490</v>
      </c>
    </row>
    <row customHeight="1" ht="11.25">
      <c r="A190" s="0" t="s">
        <v>16</v>
      </c>
      <c r="B190" s="0" t="s">
        <v>3468</v>
      </c>
      <c r="C190" s="0" t="s">
        <v>3469</v>
      </c>
      <c r="D190" s="0" t="s">
        <v>3491</v>
      </c>
      <c r="E190" s="0" t="s">
        <v>3492</v>
      </c>
      <c r="F190" s="0" t="s">
        <v>2989</v>
      </c>
      <c r="G190" s="0" t="s">
        <v>3493</v>
      </c>
    </row>
    <row customHeight="1" ht="11.25">
      <c r="A191" s="0" t="s">
        <v>16</v>
      </c>
      <c r="B191" s="0" t="s">
        <v>3468</v>
      </c>
      <c r="C191" s="0" t="s">
        <v>3469</v>
      </c>
      <c r="D191" s="0" t="s">
        <v>3468</v>
      </c>
      <c r="E191" s="0" t="s">
        <v>3469</v>
      </c>
      <c r="F191" s="0" t="s">
        <v>2990</v>
      </c>
      <c r="G191" s="0" t="s">
        <v>3494</v>
      </c>
    </row>
    <row customHeight="1" ht="11.25">
      <c r="A192" s="0" t="s">
        <v>16</v>
      </c>
      <c r="B192" s="0" t="s">
        <v>3468</v>
      </c>
      <c r="C192" s="0" t="s">
        <v>3469</v>
      </c>
      <c r="D192" s="0" t="s">
        <v>3495</v>
      </c>
      <c r="E192" s="0" t="s">
        <v>3496</v>
      </c>
      <c r="F192" s="0" t="s">
        <v>2989</v>
      </c>
      <c r="G192" s="0" t="s">
        <v>3497</v>
      </c>
    </row>
    <row customHeight="1" ht="11.25">
      <c r="A193" s="0" t="s">
        <v>16</v>
      </c>
      <c r="B193" s="0" t="s">
        <v>3468</v>
      </c>
      <c r="C193" s="0" t="s">
        <v>3469</v>
      </c>
      <c r="D193" s="0" t="s">
        <v>3498</v>
      </c>
      <c r="E193" s="0" t="s">
        <v>3499</v>
      </c>
      <c r="F193" s="0" t="s">
        <v>2989</v>
      </c>
      <c r="G193" s="0" t="s">
        <v>3500</v>
      </c>
    </row>
    <row customHeight="1" ht="11.25">
      <c r="A194" s="0" t="s">
        <v>16</v>
      </c>
      <c r="B194" s="0" t="s">
        <v>3468</v>
      </c>
      <c r="C194" s="0" t="s">
        <v>3469</v>
      </c>
      <c r="D194" s="0" t="s">
        <v>3501</v>
      </c>
      <c r="E194" s="0" t="s">
        <v>3502</v>
      </c>
      <c r="F194" s="0" t="s">
        <v>2989</v>
      </c>
      <c r="G194" s="0" t="s">
        <v>3503</v>
      </c>
    </row>
    <row customHeight="1" ht="11.25">
      <c r="A195" s="0" t="s">
        <v>16</v>
      </c>
      <c r="B195" s="0" t="s">
        <v>3468</v>
      </c>
      <c r="C195" s="0" t="s">
        <v>3469</v>
      </c>
      <c r="D195" s="0" t="s">
        <v>3504</v>
      </c>
      <c r="E195" s="0" t="s">
        <v>3505</v>
      </c>
      <c r="F195" s="0" t="s">
        <v>2989</v>
      </c>
      <c r="G195" s="0" t="s">
        <v>3506</v>
      </c>
    </row>
    <row customHeight="1" ht="11.25">
      <c r="A196" s="0" t="s">
        <v>16</v>
      </c>
      <c r="B196" s="0" t="s">
        <v>3468</v>
      </c>
      <c r="C196" s="0" t="s">
        <v>3469</v>
      </c>
      <c r="D196" s="0" t="s">
        <v>3507</v>
      </c>
      <c r="E196" s="0" t="s">
        <v>3508</v>
      </c>
      <c r="F196" s="0" t="s">
        <v>3114</v>
      </c>
      <c r="G196" s="0" t="s">
        <v>3509</v>
      </c>
    </row>
    <row customHeight="1" ht="11.25">
      <c r="A197" s="0" t="s">
        <v>16</v>
      </c>
      <c r="B197" s="0" t="s">
        <v>3510</v>
      </c>
      <c r="C197" s="0" t="s">
        <v>3511</v>
      </c>
      <c r="D197" s="0" t="s">
        <v>3512</v>
      </c>
      <c r="E197" s="0" t="s">
        <v>3513</v>
      </c>
      <c r="F197" s="0" t="s">
        <v>2989</v>
      </c>
      <c r="G197" s="0" t="s">
        <v>3514</v>
      </c>
    </row>
    <row customHeight="1" ht="11.25">
      <c r="A198" s="0" t="s">
        <v>16</v>
      </c>
      <c r="B198" s="0" t="s">
        <v>3510</v>
      </c>
      <c r="C198" s="0" t="s">
        <v>3511</v>
      </c>
      <c r="D198" s="0" t="s">
        <v>3515</v>
      </c>
      <c r="E198" s="0" t="s">
        <v>3516</v>
      </c>
      <c r="F198" s="0" t="s">
        <v>2989</v>
      </c>
      <c r="G198" s="0" t="s">
        <v>3517</v>
      </c>
    </row>
    <row customHeight="1" ht="11.25">
      <c r="A199" s="0" t="s">
        <v>16</v>
      </c>
      <c r="B199" s="0" t="s">
        <v>3510</v>
      </c>
      <c r="C199" s="0" t="s">
        <v>3511</v>
      </c>
      <c r="D199" s="0" t="s">
        <v>3518</v>
      </c>
      <c r="E199" s="0" t="s">
        <v>3519</v>
      </c>
      <c r="F199" s="0" t="s">
        <v>2989</v>
      </c>
      <c r="G199" s="0" t="s">
        <v>3520</v>
      </c>
    </row>
    <row customHeight="1" ht="11.25">
      <c r="A200" s="0" t="s">
        <v>16</v>
      </c>
      <c r="B200" s="0" t="s">
        <v>3510</v>
      </c>
      <c r="C200" s="0" t="s">
        <v>3511</v>
      </c>
      <c r="D200" s="0" t="s">
        <v>3521</v>
      </c>
      <c r="E200" s="0" t="s">
        <v>3522</v>
      </c>
      <c r="F200" s="0" t="s">
        <v>2989</v>
      </c>
      <c r="G200" s="0" t="s">
        <v>3523</v>
      </c>
    </row>
    <row customHeight="1" ht="11.25">
      <c r="A201" s="0" t="s">
        <v>16</v>
      </c>
      <c r="B201" s="0" t="s">
        <v>3510</v>
      </c>
      <c r="C201" s="0" t="s">
        <v>3511</v>
      </c>
      <c r="D201" s="0" t="s">
        <v>3524</v>
      </c>
      <c r="E201" s="0" t="s">
        <v>3525</v>
      </c>
      <c r="F201" s="0" t="s">
        <v>2989</v>
      </c>
      <c r="G201" s="0" t="s">
        <v>3526</v>
      </c>
    </row>
    <row customHeight="1" ht="11.25">
      <c r="A202" s="0" t="s">
        <v>16</v>
      </c>
      <c r="B202" s="0" t="s">
        <v>3510</v>
      </c>
      <c r="C202" s="0" t="s">
        <v>3511</v>
      </c>
      <c r="D202" s="0" t="s">
        <v>3076</v>
      </c>
      <c r="E202" s="0" t="s">
        <v>3527</v>
      </c>
      <c r="F202" s="0" t="s">
        <v>2989</v>
      </c>
      <c r="G202" s="0" t="s">
        <v>3528</v>
      </c>
    </row>
    <row customHeight="1" ht="11.25">
      <c r="A203" s="0" t="s">
        <v>16</v>
      </c>
      <c r="B203" s="0" t="s">
        <v>3510</v>
      </c>
      <c r="C203" s="0" t="s">
        <v>3511</v>
      </c>
      <c r="D203" s="0" t="s">
        <v>3510</v>
      </c>
      <c r="E203" s="0" t="s">
        <v>3511</v>
      </c>
      <c r="F203" s="0" t="s">
        <v>2990</v>
      </c>
      <c r="G203" s="0" t="s">
        <v>3529</v>
      </c>
    </row>
    <row customHeight="1" ht="11.25">
      <c r="A204" s="0" t="s">
        <v>16</v>
      </c>
      <c r="B204" s="0" t="s">
        <v>3510</v>
      </c>
      <c r="C204" s="0" t="s">
        <v>3511</v>
      </c>
      <c r="D204" s="0" t="s">
        <v>3530</v>
      </c>
      <c r="E204" s="0" t="s">
        <v>3531</v>
      </c>
      <c r="F204" s="0" t="s">
        <v>2989</v>
      </c>
      <c r="G204" s="0" t="s">
        <v>3532</v>
      </c>
    </row>
    <row customHeight="1" ht="11.25">
      <c r="A205" s="0" t="s">
        <v>16</v>
      </c>
      <c r="B205" s="0" t="s">
        <v>3510</v>
      </c>
      <c r="C205" s="0" t="s">
        <v>3511</v>
      </c>
      <c r="D205" s="0" t="s">
        <v>3533</v>
      </c>
      <c r="E205" s="0" t="s">
        <v>3534</v>
      </c>
      <c r="F205" s="0" t="s">
        <v>2989</v>
      </c>
      <c r="G205" s="0" t="s">
        <v>3535</v>
      </c>
    </row>
    <row customHeight="1" ht="11.25">
      <c r="A206" s="0" t="s">
        <v>16</v>
      </c>
      <c r="B206" s="0" t="s">
        <v>3510</v>
      </c>
      <c r="C206" s="0" t="s">
        <v>3511</v>
      </c>
      <c r="D206" s="0" t="s">
        <v>3536</v>
      </c>
      <c r="E206" s="0" t="s">
        <v>3537</v>
      </c>
      <c r="F206" s="0" t="s">
        <v>2989</v>
      </c>
      <c r="G206" s="0" t="s">
        <v>3538</v>
      </c>
    </row>
    <row customHeight="1" ht="11.25">
      <c r="A207" s="0" t="s">
        <v>16</v>
      </c>
      <c r="B207" s="0" t="s">
        <v>3510</v>
      </c>
      <c r="C207" s="0" t="s">
        <v>3511</v>
      </c>
      <c r="D207" s="0" t="s">
        <v>3539</v>
      </c>
      <c r="E207" s="0" t="s">
        <v>3540</v>
      </c>
      <c r="F207" s="0" t="s">
        <v>2989</v>
      </c>
      <c r="G207" s="0" t="s">
        <v>3541</v>
      </c>
    </row>
    <row customHeight="1" ht="11.25">
      <c r="A208" s="0" t="s">
        <v>16</v>
      </c>
      <c r="B208" s="0" t="s">
        <v>3510</v>
      </c>
      <c r="C208" s="0" t="s">
        <v>3511</v>
      </c>
      <c r="D208" s="0" t="s">
        <v>3542</v>
      </c>
      <c r="E208" s="0" t="s">
        <v>3543</v>
      </c>
      <c r="F208" s="0" t="s">
        <v>3059</v>
      </c>
      <c r="G208" s="0" t="s">
        <v>3544</v>
      </c>
    </row>
    <row customHeight="1" ht="11.25">
      <c r="A209" s="0" t="s">
        <v>16</v>
      </c>
      <c r="B209" s="0" t="s">
        <v>3545</v>
      </c>
      <c r="C209" s="0" t="s">
        <v>3546</v>
      </c>
      <c r="D209" s="0" t="s">
        <v>3547</v>
      </c>
      <c r="E209" s="0" t="s">
        <v>3548</v>
      </c>
      <c r="F209" s="0" t="s">
        <v>2989</v>
      </c>
      <c r="G209" s="0" t="s">
        <v>3549</v>
      </c>
    </row>
    <row customHeight="1" ht="11.25">
      <c r="A210" s="0" t="s">
        <v>16</v>
      </c>
      <c r="B210" s="0" t="s">
        <v>3545</v>
      </c>
      <c r="C210" s="0" t="s">
        <v>3546</v>
      </c>
      <c r="D210" s="0" t="s">
        <v>3550</v>
      </c>
      <c r="E210" s="0" t="s">
        <v>3551</v>
      </c>
      <c r="F210" s="0" t="s">
        <v>2989</v>
      </c>
      <c r="G210" s="0" t="s">
        <v>3552</v>
      </c>
    </row>
    <row customHeight="1" ht="11.25">
      <c r="A211" s="0" t="s">
        <v>16</v>
      </c>
      <c r="B211" s="0" t="s">
        <v>3545</v>
      </c>
      <c r="C211" s="0" t="s">
        <v>3546</v>
      </c>
      <c r="D211" s="0" t="s">
        <v>3553</v>
      </c>
      <c r="E211" s="0" t="s">
        <v>3554</v>
      </c>
      <c r="F211" s="0" t="s">
        <v>2989</v>
      </c>
      <c r="G211" s="0" t="s">
        <v>3555</v>
      </c>
    </row>
    <row customHeight="1" ht="11.25">
      <c r="A212" s="0" t="s">
        <v>16</v>
      </c>
      <c r="B212" s="0" t="s">
        <v>3545</v>
      </c>
      <c r="C212" s="0" t="s">
        <v>3546</v>
      </c>
      <c r="D212" s="0" t="s">
        <v>3556</v>
      </c>
      <c r="E212" s="0" t="s">
        <v>3557</v>
      </c>
      <c r="F212" s="0" t="s">
        <v>2989</v>
      </c>
      <c r="G212" s="0" t="s">
        <v>3558</v>
      </c>
    </row>
    <row customHeight="1" ht="11.25">
      <c r="A213" s="0" t="s">
        <v>16</v>
      </c>
      <c r="B213" s="0" t="s">
        <v>3545</v>
      </c>
      <c r="C213" s="0" t="s">
        <v>3546</v>
      </c>
      <c r="D213" s="0" t="s">
        <v>3559</v>
      </c>
      <c r="E213" s="0" t="s">
        <v>3560</v>
      </c>
      <c r="F213" s="0" t="s">
        <v>2989</v>
      </c>
      <c r="G213" s="0" t="s">
        <v>3561</v>
      </c>
    </row>
    <row customHeight="1" ht="11.25">
      <c r="A214" s="0" t="s">
        <v>16</v>
      </c>
      <c r="B214" s="0" t="s">
        <v>3545</v>
      </c>
      <c r="C214" s="0" t="s">
        <v>3546</v>
      </c>
      <c r="D214" s="0" t="s">
        <v>3562</v>
      </c>
      <c r="E214" s="0" t="s">
        <v>3563</v>
      </c>
      <c r="F214" s="0" t="s">
        <v>2989</v>
      </c>
      <c r="G214" s="0" t="s">
        <v>3564</v>
      </c>
    </row>
    <row customHeight="1" ht="11.25">
      <c r="A215" s="0" t="s">
        <v>16</v>
      </c>
      <c r="B215" s="0" t="s">
        <v>3545</v>
      </c>
      <c r="C215" s="0" t="s">
        <v>3546</v>
      </c>
      <c r="D215" s="0" t="s">
        <v>3565</v>
      </c>
      <c r="E215" s="0" t="s">
        <v>3566</v>
      </c>
      <c r="F215" s="0" t="s">
        <v>2989</v>
      </c>
      <c r="G215" s="0" t="s">
        <v>3567</v>
      </c>
    </row>
    <row customHeight="1" ht="11.25">
      <c r="A216" s="0" t="s">
        <v>16</v>
      </c>
      <c r="B216" s="0" t="s">
        <v>3545</v>
      </c>
      <c r="C216" s="0" t="s">
        <v>3546</v>
      </c>
      <c r="D216" s="0" t="s">
        <v>3545</v>
      </c>
      <c r="E216" s="0" t="s">
        <v>3546</v>
      </c>
      <c r="F216" s="0" t="s">
        <v>2990</v>
      </c>
      <c r="G216" s="0" t="s">
        <v>3568</v>
      </c>
    </row>
    <row customHeight="1" ht="11.25">
      <c r="A217" s="0" t="s">
        <v>16</v>
      </c>
      <c r="B217" s="0" t="s">
        <v>3545</v>
      </c>
      <c r="C217" s="0" t="s">
        <v>3546</v>
      </c>
      <c r="D217" s="0" t="s">
        <v>3569</v>
      </c>
      <c r="E217" s="0" t="s">
        <v>3570</v>
      </c>
      <c r="F217" s="0" t="s">
        <v>3059</v>
      </c>
      <c r="G217" s="0" t="s">
        <v>3571</v>
      </c>
    </row>
    <row customHeight="1" ht="11.25">
      <c r="A218" s="0" t="s">
        <v>16</v>
      </c>
      <c r="B218" s="0" t="s">
        <v>3572</v>
      </c>
      <c r="C218" s="0" t="s">
        <v>3573</v>
      </c>
      <c r="D218" s="0" t="s">
        <v>3574</v>
      </c>
      <c r="E218" s="0" t="s">
        <v>3575</v>
      </c>
      <c r="F218" s="0" t="s">
        <v>2989</v>
      </c>
      <c r="G218" s="0" t="s">
        <v>3576</v>
      </c>
    </row>
    <row customHeight="1" ht="11.25">
      <c r="A219" s="0" t="s">
        <v>16</v>
      </c>
      <c r="B219" s="0" t="s">
        <v>3572</v>
      </c>
      <c r="C219" s="0" t="s">
        <v>3573</v>
      </c>
      <c r="D219" s="0" t="s">
        <v>3206</v>
      </c>
      <c r="E219" s="0" t="s">
        <v>3577</v>
      </c>
      <c r="F219" s="0" t="s">
        <v>2989</v>
      </c>
      <c r="G219" s="0" t="s">
        <v>3578</v>
      </c>
    </row>
    <row customHeight="1" ht="11.25">
      <c r="A220" s="0" t="s">
        <v>16</v>
      </c>
      <c r="B220" s="0" t="s">
        <v>3572</v>
      </c>
      <c r="C220" s="0" t="s">
        <v>3573</v>
      </c>
      <c r="D220" s="0" t="s">
        <v>3579</v>
      </c>
      <c r="E220" s="0" t="s">
        <v>3580</v>
      </c>
      <c r="F220" s="0" t="s">
        <v>2989</v>
      </c>
      <c r="G220" s="0" t="s">
        <v>3581</v>
      </c>
    </row>
    <row customHeight="1" ht="11.25">
      <c r="A221" s="0" t="s">
        <v>16</v>
      </c>
      <c r="B221" s="0" t="s">
        <v>3572</v>
      </c>
      <c r="C221" s="0" t="s">
        <v>3573</v>
      </c>
      <c r="D221" s="0" t="s">
        <v>3572</v>
      </c>
      <c r="E221" s="0" t="s">
        <v>3573</v>
      </c>
      <c r="F221" s="0" t="s">
        <v>2990</v>
      </c>
      <c r="G221" s="0" t="s">
        <v>3582</v>
      </c>
    </row>
    <row customHeight="1" ht="11.25">
      <c r="A222" s="0" t="s">
        <v>16</v>
      </c>
      <c r="B222" s="0" t="s">
        <v>3572</v>
      </c>
      <c r="C222" s="0" t="s">
        <v>3573</v>
      </c>
      <c r="D222" s="0" t="s">
        <v>3583</v>
      </c>
      <c r="E222" s="0" t="s">
        <v>3584</v>
      </c>
      <c r="F222" s="0" t="s">
        <v>2989</v>
      </c>
      <c r="G222" s="0" t="s">
        <v>3585</v>
      </c>
    </row>
    <row customHeight="1" ht="11.25">
      <c r="A223" s="0" t="s">
        <v>16</v>
      </c>
      <c r="B223" s="0" t="s">
        <v>3572</v>
      </c>
      <c r="C223" s="0" t="s">
        <v>3573</v>
      </c>
      <c r="D223" s="0" t="s">
        <v>3586</v>
      </c>
      <c r="E223" s="0" t="s">
        <v>3587</v>
      </c>
      <c r="F223" s="0" t="s">
        <v>2989</v>
      </c>
      <c r="G223" s="0" t="s">
        <v>3588</v>
      </c>
    </row>
    <row customHeight="1" ht="11.25">
      <c r="A224" s="0" t="s">
        <v>16</v>
      </c>
      <c r="B224" s="0" t="s">
        <v>3572</v>
      </c>
      <c r="C224" s="0" t="s">
        <v>3573</v>
      </c>
      <c r="D224" s="0" t="s">
        <v>3589</v>
      </c>
      <c r="E224" s="0" t="s">
        <v>3590</v>
      </c>
      <c r="F224" s="0" t="s">
        <v>2989</v>
      </c>
      <c r="G224" s="0" t="s">
        <v>3591</v>
      </c>
    </row>
    <row customHeight="1" ht="11.25">
      <c r="A225" s="0" t="s">
        <v>16</v>
      </c>
      <c r="B225" s="0" t="s">
        <v>3572</v>
      </c>
      <c r="C225" s="0" t="s">
        <v>3573</v>
      </c>
      <c r="D225" s="0" t="s">
        <v>3592</v>
      </c>
      <c r="E225" s="0" t="s">
        <v>3593</v>
      </c>
      <c r="F225" s="0" t="s">
        <v>2989</v>
      </c>
      <c r="G225" s="0" t="s">
        <v>3594</v>
      </c>
    </row>
    <row customHeight="1" ht="11.25">
      <c r="A226" s="0" t="s">
        <v>16</v>
      </c>
      <c r="B226" s="0" t="s">
        <v>3572</v>
      </c>
      <c r="C226" s="0" t="s">
        <v>3573</v>
      </c>
      <c r="D226" s="0" t="s">
        <v>3595</v>
      </c>
      <c r="E226" s="0" t="s">
        <v>3596</v>
      </c>
      <c r="F226" s="0" t="s">
        <v>2989</v>
      </c>
      <c r="G226" s="0" t="s">
        <v>3597</v>
      </c>
    </row>
    <row customHeight="1" ht="11.25">
      <c r="A227" s="0" t="s">
        <v>16</v>
      </c>
      <c r="B227" s="0" t="s">
        <v>3572</v>
      </c>
      <c r="C227" s="0" t="s">
        <v>3573</v>
      </c>
      <c r="D227" s="0" t="s">
        <v>3598</v>
      </c>
      <c r="E227" s="0" t="s">
        <v>3599</v>
      </c>
      <c r="F227" s="0" t="s">
        <v>3059</v>
      </c>
      <c r="G227" s="0" t="s">
        <v>3600</v>
      </c>
    </row>
    <row customHeight="1" ht="11.25">
      <c r="A228" s="0" t="s">
        <v>16</v>
      </c>
      <c r="B228" s="0" t="s">
        <v>3572</v>
      </c>
      <c r="C228" s="0" t="s">
        <v>3573</v>
      </c>
      <c r="D228" s="0" t="s">
        <v>3601</v>
      </c>
      <c r="E228" s="0" t="s">
        <v>3602</v>
      </c>
      <c r="F228" s="0" t="s">
        <v>3059</v>
      </c>
      <c r="G228" s="0" t="s">
        <v>3603</v>
      </c>
    </row>
    <row customHeight="1" ht="11.25">
      <c r="A229" s="0" t="s">
        <v>16</v>
      </c>
      <c r="B229" s="0" t="s">
        <v>3604</v>
      </c>
      <c r="C229" s="0" t="s">
        <v>3605</v>
      </c>
      <c r="D229" s="0" t="s">
        <v>3606</v>
      </c>
      <c r="E229" s="0" t="s">
        <v>3607</v>
      </c>
      <c r="F229" s="0" t="s">
        <v>2989</v>
      </c>
      <c r="G229" s="0" t="s">
        <v>3608</v>
      </c>
    </row>
    <row customHeight="1" ht="11.25">
      <c r="A230" s="0" t="s">
        <v>16</v>
      </c>
      <c r="B230" s="0" t="s">
        <v>3604</v>
      </c>
      <c r="C230" s="0" t="s">
        <v>3605</v>
      </c>
      <c r="D230" s="0" t="s">
        <v>3609</v>
      </c>
      <c r="E230" s="0" t="s">
        <v>3610</v>
      </c>
      <c r="F230" s="0" t="s">
        <v>2989</v>
      </c>
      <c r="G230" s="0" t="s">
        <v>3611</v>
      </c>
    </row>
    <row customHeight="1" ht="11.25">
      <c r="A231" s="0" t="s">
        <v>16</v>
      </c>
      <c r="B231" s="0" t="s">
        <v>3604</v>
      </c>
      <c r="C231" s="0" t="s">
        <v>3605</v>
      </c>
      <c r="D231" s="0" t="s">
        <v>3612</v>
      </c>
      <c r="E231" s="0" t="s">
        <v>3613</v>
      </c>
      <c r="F231" s="0" t="s">
        <v>2989</v>
      </c>
      <c r="G231" s="0" t="s">
        <v>3614</v>
      </c>
    </row>
    <row customHeight="1" ht="11.25">
      <c r="A232" s="0" t="s">
        <v>16</v>
      </c>
      <c r="B232" s="0" t="s">
        <v>3604</v>
      </c>
      <c r="C232" s="0" t="s">
        <v>3605</v>
      </c>
      <c r="D232" s="0" t="s">
        <v>3615</v>
      </c>
      <c r="E232" s="0" t="s">
        <v>3616</v>
      </c>
      <c r="F232" s="0" t="s">
        <v>2989</v>
      </c>
      <c r="G232" s="0" t="s">
        <v>3617</v>
      </c>
    </row>
    <row customHeight="1" ht="11.25">
      <c r="A233" s="0" t="s">
        <v>16</v>
      </c>
      <c r="B233" s="0" t="s">
        <v>3604</v>
      </c>
      <c r="C233" s="0" t="s">
        <v>3605</v>
      </c>
      <c r="D233" s="0" t="s">
        <v>3618</v>
      </c>
      <c r="E233" s="0" t="s">
        <v>3619</v>
      </c>
      <c r="F233" s="0" t="s">
        <v>2989</v>
      </c>
      <c r="G233" s="0" t="s">
        <v>3620</v>
      </c>
    </row>
    <row customHeight="1" ht="11.25">
      <c r="A234" s="0" t="s">
        <v>16</v>
      </c>
      <c r="B234" s="0" t="s">
        <v>3604</v>
      </c>
      <c r="C234" s="0" t="s">
        <v>3605</v>
      </c>
      <c r="D234" s="0" t="s">
        <v>3621</v>
      </c>
      <c r="E234" s="0" t="s">
        <v>3622</v>
      </c>
      <c r="F234" s="0" t="s">
        <v>2989</v>
      </c>
      <c r="G234" s="0" t="s">
        <v>3623</v>
      </c>
    </row>
    <row customHeight="1" ht="11.25">
      <c r="A235" s="0" t="s">
        <v>16</v>
      </c>
      <c r="B235" s="0" t="s">
        <v>3604</v>
      </c>
      <c r="C235" s="0" t="s">
        <v>3605</v>
      </c>
      <c r="D235" s="0" t="s">
        <v>3135</v>
      </c>
      <c r="E235" s="0" t="s">
        <v>3624</v>
      </c>
      <c r="F235" s="0" t="s">
        <v>2989</v>
      </c>
      <c r="G235" s="0" t="s">
        <v>3625</v>
      </c>
    </row>
    <row customHeight="1" ht="11.25">
      <c r="A236" s="0" t="s">
        <v>16</v>
      </c>
      <c r="B236" s="0" t="s">
        <v>3604</v>
      </c>
      <c r="C236" s="0" t="s">
        <v>3605</v>
      </c>
      <c r="D236" s="0" t="s">
        <v>3626</v>
      </c>
      <c r="E236" s="0" t="s">
        <v>3627</v>
      </c>
      <c r="F236" s="0" t="s">
        <v>2989</v>
      </c>
      <c r="G236" s="0" t="s">
        <v>3628</v>
      </c>
    </row>
    <row customHeight="1" ht="11.25">
      <c r="A237" s="0" t="s">
        <v>16</v>
      </c>
      <c r="B237" s="0" t="s">
        <v>3604</v>
      </c>
      <c r="C237" s="0" t="s">
        <v>3605</v>
      </c>
      <c r="D237" s="0" t="s">
        <v>3629</v>
      </c>
      <c r="E237" s="0" t="s">
        <v>3630</v>
      </c>
      <c r="F237" s="0" t="s">
        <v>2989</v>
      </c>
      <c r="G237" s="0" t="s">
        <v>3631</v>
      </c>
    </row>
    <row customHeight="1" ht="11.25">
      <c r="A238" s="0" t="s">
        <v>16</v>
      </c>
      <c r="B238" s="0" t="s">
        <v>3604</v>
      </c>
      <c r="C238" s="0" t="s">
        <v>3605</v>
      </c>
      <c r="D238" s="0" t="s">
        <v>3632</v>
      </c>
      <c r="E238" s="0" t="s">
        <v>3633</v>
      </c>
      <c r="F238" s="0" t="s">
        <v>2989</v>
      </c>
      <c r="G238" s="0" t="s">
        <v>3634</v>
      </c>
    </row>
    <row customHeight="1" ht="11.25">
      <c r="A239" s="0" t="s">
        <v>16</v>
      </c>
      <c r="B239" s="0" t="s">
        <v>3604</v>
      </c>
      <c r="C239" s="0" t="s">
        <v>3605</v>
      </c>
      <c r="D239" s="0" t="s">
        <v>3635</v>
      </c>
      <c r="E239" s="0" t="s">
        <v>3636</v>
      </c>
      <c r="F239" s="0" t="s">
        <v>2989</v>
      </c>
      <c r="G239" s="0" t="s">
        <v>3637</v>
      </c>
    </row>
    <row customHeight="1" ht="11.25">
      <c r="A240" s="0" t="s">
        <v>16</v>
      </c>
      <c r="B240" s="0" t="s">
        <v>3604</v>
      </c>
      <c r="C240" s="0" t="s">
        <v>3605</v>
      </c>
      <c r="D240" s="0" t="s">
        <v>3638</v>
      </c>
      <c r="E240" s="0" t="s">
        <v>3639</v>
      </c>
      <c r="F240" s="0" t="s">
        <v>2989</v>
      </c>
      <c r="G240" s="0" t="s">
        <v>3640</v>
      </c>
    </row>
    <row customHeight="1" ht="11.25">
      <c r="A241" s="0" t="s">
        <v>16</v>
      </c>
      <c r="B241" s="0" t="s">
        <v>3604</v>
      </c>
      <c r="C241" s="0" t="s">
        <v>3605</v>
      </c>
      <c r="D241" s="0" t="s">
        <v>3604</v>
      </c>
      <c r="E241" s="0" t="s">
        <v>3605</v>
      </c>
      <c r="F241" s="0" t="s">
        <v>2990</v>
      </c>
      <c r="G241" s="0" t="s">
        <v>3641</v>
      </c>
    </row>
    <row customHeight="1" ht="11.25">
      <c r="A242" s="0" t="s">
        <v>16</v>
      </c>
      <c r="B242" s="0" t="s">
        <v>3604</v>
      </c>
      <c r="C242" s="0" t="s">
        <v>3605</v>
      </c>
      <c r="D242" s="0" t="s">
        <v>3147</v>
      </c>
      <c r="E242" s="0" t="s">
        <v>3642</v>
      </c>
      <c r="F242" s="0" t="s">
        <v>2989</v>
      </c>
      <c r="G242" s="0" t="s">
        <v>3643</v>
      </c>
    </row>
    <row customHeight="1" ht="11.25">
      <c r="A243" s="0" t="s">
        <v>16</v>
      </c>
      <c r="B243" s="0" t="s">
        <v>3604</v>
      </c>
      <c r="C243" s="0" t="s">
        <v>3605</v>
      </c>
      <c r="D243" s="0" t="s">
        <v>3644</v>
      </c>
      <c r="E243" s="0" t="s">
        <v>3645</v>
      </c>
      <c r="F243" s="0" t="s">
        <v>2989</v>
      </c>
      <c r="G243" s="0" t="s">
        <v>3646</v>
      </c>
    </row>
    <row customHeight="1" ht="11.25">
      <c r="A244" s="0" t="s">
        <v>16</v>
      </c>
      <c r="B244" s="0" t="s">
        <v>3604</v>
      </c>
      <c r="C244" s="0" t="s">
        <v>3605</v>
      </c>
      <c r="D244" s="0" t="s">
        <v>3647</v>
      </c>
      <c r="E244" s="0" t="s">
        <v>3648</v>
      </c>
      <c r="F244" s="0" t="s">
        <v>3114</v>
      </c>
      <c r="G244" s="0" t="s">
        <v>3649</v>
      </c>
    </row>
    <row customHeight="1" ht="11.25">
      <c r="A245" s="0" t="s">
        <v>16</v>
      </c>
      <c r="B245" s="0" t="s">
        <v>3650</v>
      </c>
      <c r="C245" s="0" t="s">
        <v>3651</v>
      </c>
      <c r="D245" s="0" t="s">
        <v>3652</v>
      </c>
      <c r="E245" s="0" t="s">
        <v>3653</v>
      </c>
      <c r="F245" s="0" t="s">
        <v>2989</v>
      </c>
      <c r="G245" s="0" t="s">
        <v>3654</v>
      </c>
    </row>
    <row customHeight="1" ht="11.25">
      <c r="A246" s="0" t="s">
        <v>16</v>
      </c>
      <c r="B246" s="0" t="s">
        <v>3650</v>
      </c>
      <c r="C246" s="0" t="s">
        <v>3651</v>
      </c>
      <c r="D246" s="0" t="s">
        <v>3655</v>
      </c>
      <c r="E246" s="0" t="s">
        <v>3656</v>
      </c>
      <c r="F246" s="0" t="s">
        <v>2989</v>
      </c>
      <c r="G246" s="0" t="s">
        <v>3657</v>
      </c>
    </row>
    <row customHeight="1" ht="11.25">
      <c r="A247" s="0" t="s">
        <v>16</v>
      </c>
      <c r="B247" s="0" t="s">
        <v>3650</v>
      </c>
      <c r="C247" s="0" t="s">
        <v>3651</v>
      </c>
      <c r="D247" s="0" t="s">
        <v>3658</v>
      </c>
      <c r="E247" s="0" t="s">
        <v>3659</v>
      </c>
      <c r="F247" s="0" t="s">
        <v>2989</v>
      </c>
      <c r="G247" s="0" t="s">
        <v>3660</v>
      </c>
    </row>
    <row customHeight="1" ht="11.25">
      <c r="A248" s="0" t="s">
        <v>16</v>
      </c>
      <c r="B248" s="0" t="s">
        <v>3650</v>
      </c>
      <c r="C248" s="0" t="s">
        <v>3651</v>
      </c>
      <c r="D248" s="0" t="s">
        <v>3209</v>
      </c>
      <c r="E248" s="0" t="s">
        <v>3661</v>
      </c>
      <c r="F248" s="0" t="s">
        <v>2989</v>
      </c>
      <c r="G248" s="0" t="s">
        <v>3662</v>
      </c>
    </row>
    <row customHeight="1" ht="11.25">
      <c r="A249" s="0" t="s">
        <v>16</v>
      </c>
      <c r="B249" s="0" t="s">
        <v>3650</v>
      </c>
      <c r="C249" s="0" t="s">
        <v>3651</v>
      </c>
      <c r="D249" s="0" t="s">
        <v>3663</v>
      </c>
      <c r="E249" s="0" t="s">
        <v>3664</v>
      </c>
      <c r="F249" s="0" t="s">
        <v>2989</v>
      </c>
      <c r="G249" s="0" t="s">
        <v>3665</v>
      </c>
    </row>
    <row customHeight="1" ht="11.25">
      <c r="A250" s="0" t="s">
        <v>16</v>
      </c>
      <c r="B250" s="0" t="s">
        <v>3650</v>
      </c>
      <c r="C250" s="0" t="s">
        <v>3651</v>
      </c>
      <c r="D250" s="0" t="s">
        <v>3218</v>
      </c>
      <c r="E250" s="0" t="s">
        <v>3666</v>
      </c>
      <c r="F250" s="0" t="s">
        <v>2989</v>
      </c>
      <c r="G250" s="0" t="s">
        <v>3667</v>
      </c>
    </row>
    <row customHeight="1" ht="11.25">
      <c r="A251" s="0" t="s">
        <v>16</v>
      </c>
      <c r="B251" s="0" t="s">
        <v>3650</v>
      </c>
      <c r="C251" s="0" t="s">
        <v>3651</v>
      </c>
      <c r="D251" s="0" t="s">
        <v>3668</v>
      </c>
      <c r="E251" s="0" t="s">
        <v>3669</v>
      </c>
      <c r="F251" s="0" t="s">
        <v>2989</v>
      </c>
      <c r="G251" s="0" t="s">
        <v>3670</v>
      </c>
    </row>
    <row customHeight="1" ht="11.25">
      <c r="A252" s="0" t="s">
        <v>16</v>
      </c>
      <c r="B252" s="0" t="s">
        <v>3650</v>
      </c>
      <c r="C252" s="0" t="s">
        <v>3651</v>
      </c>
      <c r="D252" s="0" t="s">
        <v>3671</v>
      </c>
      <c r="E252" s="0" t="s">
        <v>3672</v>
      </c>
      <c r="F252" s="0" t="s">
        <v>2989</v>
      </c>
      <c r="G252" s="0" t="s">
        <v>3673</v>
      </c>
    </row>
    <row customHeight="1" ht="11.25">
      <c r="A253" s="0" t="s">
        <v>16</v>
      </c>
      <c r="B253" s="0" t="s">
        <v>3650</v>
      </c>
      <c r="C253" s="0" t="s">
        <v>3651</v>
      </c>
      <c r="D253" s="0" t="s">
        <v>3674</v>
      </c>
      <c r="E253" s="0" t="s">
        <v>3675</v>
      </c>
      <c r="F253" s="0" t="s">
        <v>2989</v>
      </c>
      <c r="G253" s="0" t="s">
        <v>3676</v>
      </c>
    </row>
    <row customHeight="1" ht="11.25">
      <c r="A254" s="0" t="s">
        <v>16</v>
      </c>
      <c r="B254" s="0" t="s">
        <v>3650</v>
      </c>
      <c r="C254" s="0" t="s">
        <v>3651</v>
      </c>
      <c r="D254" s="0" t="s">
        <v>3650</v>
      </c>
      <c r="E254" s="0" t="s">
        <v>3651</v>
      </c>
      <c r="F254" s="0" t="s">
        <v>2990</v>
      </c>
      <c r="G254" s="0" t="s">
        <v>3677</v>
      </c>
    </row>
    <row customHeight="1" ht="11.25">
      <c r="A255" s="0" t="s">
        <v>16</v>
      </c>
      <c r="B255" s="0" t="s">
        <v>3650</v>
      </c>
      <c r="C255" s="0" t="s">
        <v>3651</v>
      </c>
      <c r="D255" s="0" t="s">
        <v>3678</v>
      </c>
      <c r="E255" s="0" t="s">
        <v>3679</v>
      </c>
      <c r="F255" s="0" t="s">
        <v>2989</v>
      </c>
      <c r="G255" s="0" t="s">
        <v>3680</v>
      </c>
    </row>
    <row customHeight="1" ht="11.25">
      <c r="A256" s="0" t="s">
        <v>16</v>
      </c>
      <c r="B256" s="0" t="s">
        <v>3650</v>
      </c>
      <c r="C256" s="0" t="s">
        <v>3651</v>
      </c>
      <c r="D256" s="0" t="s">
        <v>3681</v>
      </c>
      <c r="E256" s="0" t="s">
        <v>3682</v>
      </c>
      <c r="F256" s="0" t="s">
        <v>3059</v>
      </c>
      <c r="G256" s="0" t="s">
        <v>3683</v>
      </c>
    </row>
    <row customHeight="1" ht="11.25">
      <c r="A257" s="0" t="s">
        <v>16</v>
      </c>
      <c r="B257" s="0" t="s">
        <v>3684</v>
      </c>
      <c r="C257" s="0" t="s">
        <v>3685</v>
      </c>
      <c r="D257" s="0" t="s">
        <v>3686</v>
      </c>
      <c r="E257" s="0" t="s">
        <v>3687</v>
      </c>
      <c r="F257" s="0" t="s">
        <v>2989</v>
      </c>
      <c r="G257" s="0" t="s">
        <v>3688</v>
      </c>
    </row>
    <row customHeight="1" ht="11.25">
      <c r="A258" s="0" t="s">
        <v>16</v>
      </c>
      <c r="B258" s="0" t="s">
        <v>3684</v>
      </c>
      <c r="C258" s="0" t="s">
        <v>3685</v>
      </c>
      <c r="D258" s="0" t="s">
        <v>3689</v>
      </c>
      <c r="E258" s="0" t="s">
        <v>3690</v>
      </c>
      <c r="F258" s="0" t="s">
        <v>2989</v>
      </c>
      <c r="G258" s="0" t="s">
        <v>3691</v>
      </c>
    </row>
    <row customHeight="1" ht="11.25">
      <c r="A259" s="0" t="s">
        <v>16</v>
      </c>
      <c r="B259" s="0" t="s">
        <v>3684</v>
      </c>
      <c r="C259" s="0" t="s">
        <v>3685</v>
      </c>
      <c r="D259" s="0" t="s">
        <v>3612</v>
      </c>
      <c r="E259" s="0" t="s">
        <v>3692</v>
      </c>
      <c r="F259" s="0" t="s">
        <v>2989</v>
      </c>
      <c r="G259" s="0" t="s">
        <v>3693</v>
      </c>
    </row>
    <row customHeight="1" ht="11.25">
      <c r="A260" s="0" t="s">
        <v>16</v>
      </c>
      <c r="B260" s="0" t="s">
        <v>3684</v>
      </c>
      <c r="C260" s="0" t="s">
        <v>3685</v>
      </c>
      <c r="D260" s="0" t="s">
        <v>3684</v>
      </c>
      <c r="E260" s="0" t="s">
        <v>3685</v>
      </c>
      <c r="F260" s="0" t="s">
        <v>2990</v>
      </c>
      <c r="G260" s="0" t="s">
        <v>3694</v>
      </c>
    </row>
    <row customHeight="1" ht="11.25">
      <c r="A261" s="0" t="s">
        <v>16</v>
      </c>
      <c r="B261" s="0" t="s">
        <v>3684</v>
      </c>
      <c r="C261" s="0" t="s">
        <v>3685</v>
      </c>
      <c r="D261" s="0" t="s">
        <v>3695</v>
      </c>
      <c r="E261" s="0" t="s">
        <v>3696</v>
      </c>
      <c r="F261" s="0" t="s">
        <v>2989</v>
      </c>
      <c r="G261" s="0" t="s">
        <v>3697</v>
      </c>
    </row>
    <row customHeight="1" ht="11.25">
      <c r="A262" s="0" t="s">
        <v>16</v>
      </c>
      <c r="B262" s="0" t="s">
        <v>3684</v>
      </c>
      <c r="C262" s="0" t="s">
        <v>3685</v>
      </c>
      <c r="D262" s="0" t="s">
        <v>3698</v>
      </c>
      <c r="E262" s="0" t="s">
        <v>3699</v>
      </c>
      <c r="F262" s="0" t="s">
        <v>2989</v>
      </c>
      <c r="G262" s="0" t="s">
        <v>3700</v>
      </c>
    </row>
    <row customHeight="1" ht="11.25">
      <c r="A263" s="0" t="s">
        <v>16</v>
      </c>
      <c r="B263" s="0" t="s">
        <v>3684</v>
      </c>
      <c r="C263" s="0" t="s">
        <v>3685</v>
      </c>
      <c r="D263" s="0" t="s">
        <v>3351</v>
      </c>
      <c r="E263" s="0" t="s">
        <v>3701</v>
      </c>
      <c r="F263" s="0" t="s">
        <v>2989</v>
      </c>
      <c r="G263" s="0" t="s">
        <v>3702</v>
      </c>
    </row>
    <row customHeight="1" ht="11.25">
      <c r="A264" s="0" t="s">
        <v>16</v>
      </c>
      <c r="B264" s="0" t="s">
        <v>3684</v>
      </c>
      <c r="C264" s="0" t="s">
        <v>3685</v>
      </c>
      <c r="D264" s="0" t="s">
        <v>3703</v>
      </c>
      <c r="E264" s="0" t="s">
        <v>3704</v>
      </c>
      <c r="F264" s="0" t="s">
        <v>3059</v>
      </c>
      <c r="G264" s="0" t="s">
        <v>3705</v>
      </c>
    </row>
    <row customHeight="1" ht="11.25">
      <c r="A265" s="0" t="s">
        <v>16</v>
      </c>
      <c r="B265" s="0" t="s">
        <v>3706</v>
      </c>
      <c r="C265" s="0" t="s">
        <v>3707</v>
      </c>
      <c r="D265" s="0" t="s">
        <v>3708</v>
      </c>
      <c r="E265" s="0" t="s">
        <v>3709</v>
      </c>
      <c r="F265" s="0" t="s">
        <v>2989</v>
      </c>
      <c r="G265" s="0" t="s">
        <v>3710</v>
      </c>
    </row>
    <row customHeight="1" ht="11.25">
      <c r="A266" s="0" t="s">
        <v>16</v>
      </c>
      <c r="B266" s="0" t="s">
        <v>3706</v>
      </c>
      <c r="C266" s="0" t="s">
        <v>3707</v>
      </c>
      <c r="D266" s="0" t="s">
        <v>3711</v>
      </c>
      <c r="E266" s="0" t="s">
        <v>3712</v>
      </c>
      <c r="F266" s="0" t="s">
        <v>2989</v>
      </c>
      <c r="G266" s="0" t="s">
        <v>3713</v>
      </c>
    </row>
    <row customHeight="1" ht="11.25">
      <c r="A267" s="0" t="s">
        <v>16</v>
      </c>
      <c r="B267" s="0" t="s">
        <v>3706</v>
      </c>
      <c r="C267" s="0" t="s">
        <v>3707</v>
      </c>
      <c r="D267" s="0" t="s">
        <v>3714</v>
      </c>
      <c r="E267" s="0" t="s">
        <v>3715</v>
      </c>
      <c r="F267" s="0" t="s">
        <v>2989</v>
      </c>
      <c r="G267" s="0" t="s">
        <v>3716</v>
      </c>
    </row>
    <row customHeight="1" ht="11.25">
      <c r="A268" s="0" t="s">
        <v>16</v>
      </c>
      <c r="B268" s="0" t="s">
        <v>3706</v>
      </c>
      <c r="C268" s="0" t="s">
        <v>3707</v>
      </c>
      <c r="D268" s="0" t="s">
        <v>3717</v>
      </c>
      <c r="E268" s="0" t="s">
        <v>3718</v>
      </c>
      <c r="F268" s="0" t="s">
        <v>2989</v>
      </c>
      <c r="G268" s="0" t="s">
        <v>3719</v>
      </c>
    </row>
    <row customHeight="1" ht="11.25">
      <c r="A269" s="0" t="s">
        <v>16</v>
      </c>
      <c r="B269" s="0" t="s">
        <v>3706</v>
      </c>
      <c r="C269" s="0" t="s">
        <v>3707</v>
      </c>
      <c r="D269" s="0" t="s">
        <v>3720</v>
      </c>
      <c r="E269" s="0" t="s">
        <v>3721</v>
      </c>
      <c r="F269" s="0" t="s">
        <v>2989</v>
      </c>
      <c r="G269" s="0" t="s">
        <v>3722</v>
      </c>
    </row>
    <row customHeight="1" ht="11.25">
      <c r="A270" s="0" t="s">
        <v>16</v>
      </c>
      <c r="B270" s="0" t="s">
        <v>3706</v>
      </c>
      <c r="C270" s="0" t="s">
        <v>3707</v>
      </c>
      <c r="D270" s="0" t="s">
        <v>3723</v>
      </c>
      <c r="E270" s="0" t="s">
        <v>3724</v>
      </c>
      <c r="F270" s="0" t="s">
        <v>2989</v>
      </c>
      <c r="G270" s="0" t="s">
        <v>3725</v>
      </c>
    </row>
    <row customHeight="1" ht="11.25">
      <c r="A271" s="0" t="s">
        <v>16</v>
      </c>
      <c r="B271" s="0" t="s">
        <v>3706</v>
      </c>
      <c r="C271" s="0" t="s">
        <v>3707</v>
      </c>
      <c r="D271" s="0" t="s">
        <v>3726</v>
      </c>
      <c r="E271" s="0" t="s">
        <v>3727</v>
      </c>
      <c r="F271" s="0" t="s">
        <v>2989</v>
      </c>
      <c r="G271" s="0" t="s">
        <v>3728</v>
      </c>
    </row>
    <row customHeight="1" ht="11.25">
      <c r="A272" s="0" t="s">
        <v>16</v>
      </c>
      <c r="B272" s="0" t="s">
        <v>3706</v>
      </c>
      <c r="C272" s="0" t="s">
        <v>3707</v>
      </c>
      <c r="D272" s="0" t="s">
        <v>3729</v>
      </c>
      <c r="E272" s="0" t="s">
        <v>3730</v>
      </c>
      <c r="F272" s="0" t="s">
        <v>2989</v>
      </c>
      <c r="G272" s="0" t="s">
        <v>3731</v>
      </c>
    </row>
    <row customHeight="1" ht="11.25">
      <c r="A273" s="0" t="s">
        <v>16</v>
      </c>
      <c r="B273" s="0" t="s">
        <v>3706</v>
      </c>
      <c r="C273" s="0" t="s">
        <v>3707</v>
      </c>
      <c r="D273" s="0" t="s">
        <v>3732</v>
      </c>
      <c r="E273" s="0" t="s">
        <v>3733</v>
      </c>
      <c r="F273" s="0" t="s">
        <v>2989</v>
      </c>
      <c r="G273" s="0" t="s">
        <v>3734</v>
      </c>
    </row>
    <row customHeight="1" ht="11.25">
      <c r="A274" s="0" t="s">
        <v>16</v>
      </c>
      <c r="B274" s="0" t="s">
        <v>3706</v>
      </c>
      <c r="C274" s="0" t="s">
        <v>3707</v>
      </c>
      <c r="D274" s="0" t="s">
        <v>3735</v>
      </c>
      <c r="E274" s="0" t="s">
        <v>3736</v>
      </c>
      <c r="F274" s="0" t="s">
        <v>2989</v>
      </c>
      <c r="G274" s="0" t="s">
        <v>3737</v>
      </c>
    </row>
    <row customHeight="1" ht="11.25">
      <c r="A275" s="0" t="s">
        <v>16</v>
      </c>
      <c r="B275" s="0" t="s">
        <v>3706</v>
      </c>
      <c r="C275" s="0" t="s">
        <v>3707</v>
      </c>
      <c r="D275" s="0" t="s">
        <v>3738</v>
      </c>
      <c r="E275" s="0" t="s">
        <v>3739</v>
      </c>
      <c r="F275" s="0" t="s">
        <v>2989</v>
      </c>
      <c r="G275" s="0" t="s">
        <v>3740</v>
      </c>
    </row>
    <row customHeight="1" ht="11.25">
      <c r="A276" s="0" t="s">
        <v>16</v>
      </c>
      <c r="B276" s="0" t="s">
        <v>3706</v>
      </c>
      <c r="C276" s="0" t="s">
        <v>3707</v>
      </c>
      <c r="D276" s="0" t="s">
        <v>3741</v>
      </c>
      <c r="E276" s="0" t="s">
        <v>3742</v>
      </c>
      <c r="F276" s="0" t="s">
        <v>2989</v>
      </c>
      <c r="G276" s="0" t="s">
        <v>3743</v>
      </c>
    </row>
    <row customHeight="1" ht="11.25">
      <c r="A277" s="0" t="s">
        <v>16</v>
      </c>
      <c r="B277" s="0" t="s">
        <v>3706</v>
      </c>
      <c r="C277" s="0" t="s">
        <v>3707</v>
      </c>
      <c r="D277" s="0" t="s">
        <v>3744</v>
      </c>
      <c r="E277" s="0" t="s">
        <v>3745</v>
      </c>
      <c r="F277" s="0" t="s">
        <v>2989</v>
      </c>
      <c r="G277" s="0" t="s">
        <v>3746</v>
      </c>
    </row>
    <row customHeight="1" ht="11.25">
      <c r="A278" s="0" t="s">
        <v>16</v>
      </c>
      <c r="B278" s="0" t="s">
        <v>3706</v>
      </c>
      <c r="C278" s="0" t="s">
        <v>3707</v>
      </c>
      <c r="D278" s="0" t="s">
        <v>3747</v>
      </c>
      <c r="E278" s="0" t="s">
        <v>3748</v>
      </c>
      <c r="F278" s="0" t="s">
        <v>2989</v>
      </c>
      <c r="G278" s="0" t="s">
        <v>3749</v>
      </c>
    </row>
    <row customHeight="1" ht="11.25">
      <c r="A279" s="0" t="s">
        <v>16</v>
      </c>
      <c r="B279" s="0" t="s">
        <v>3706</v>
      </c>
      <c r="C279" s="0" t="s">
        <v>3707</v>
      </c>
      <c r="D279" s="0" t="s">
        <v>3750</v>
      </c>
      <c r="E279" s="0" t="s">
        <v>3751</v>
      </c>
      <c r="F279" s="0" t="s">
        <v>2989</v>
      </c>
      <c r="G279" s="0" t="s">
        <v>3752</v>
      </c>
    </row>
    <row customHeight="1" ht="11.25">
      <c r="A280" s="0" t="s">
        <v>16</v>
      </c>
      <c r="B280" s="0" t="s">
        <v>3706</v>
      </c>
      <c r="C280" s="0" t="s">
        <v>3707</v>
      </c>
      <c r="D280" s="0" t="s">
        <v>3706</v>
      </c>
      <c r="E280" s="0" t="s">
        <v>3707</v>
      </c>
      <c r="F280" s="0" t="s">
        <v>2990</v>
      </c>
      <c r="G280" s="0" t="s">
        <v>3753</v>
      </c>
    </row>
    <row customHeight="1" ht="11.25">
      <c r="A281" s="0" t="s">
        <v>16</v>
      </c>
      <c r="B281" s="0" t="s">
        <v>3706</v>
      </c>
      <c r="C281" s="0" t="s">
        <v>3707</v>
      </c>
      <c r="D281" s="0" t="s">
        <v>3754</v>
      </c>
      <c r="E281" s="0" t="s">
        <v>3755</v>
      </c>
      <c r="F281" s="0" t="s">
        <v>2989</v>
      </c>
      <c r="G281" s="0" t="s">
        <v>3756</v>
      </c>
    </row>
    <row customHeight="1" ht="11.25">
      <c r="A282" s="0" t="s">
        <v>16</v>
      </c>
      <c r="B282" s="0" t="s">
        <v>3706</v>
      </c>
      <c r="C282" s="0" t="s">
        <v>3707</v>
      </c>
      <c r="D282" s="0" t="s">
        <v>3757</v>
      </c>
      <c r="E282" s="0" t="s">
        <v>3758</v>
      </c>
      <c r="F282" s="0" t="s">
        <v>3114</v>
      </c>
      <c r="G282" s="0" t="s">
        <v>3759</v>
      </c>
    </row>
    <row customHeight="1" ht="11.25">
      <c r="A283" s="0" t="s">
        <v>16</v>
      </c>
      <c r="B283" s="0" t="s">
        <v>3760</v>
      </c>
      <c r="C283" s="0" t="s">
        <v>3761</v>
      </c>
      <c r="D283" s="0" t="s">
        <v>3762</v>
      </c>
      <c r="E283" s="0" t="s">
        <v>3763</v>
      </c>
      <c r="F283" s="0" t="s">
        <v>2989</v>
      </c>
      <c r="G283" s="0" t="s">
        <v>3764</v>
      </c>
    </row>
    <row customHeight="1" ht="11.25">
      <c r="A284" s="0" t="s">
        <v>16</v>
      </c>
      <c r="B284" s="0" t="s">
        <v>3760</v>
      </c>
      <c r="C284" s="0" t="s">
        <v>3761</v>
      </c>
      <c r="D284" s="0" t="s">
        <v>3765</v>
      </c>
      <c r="E284" s="0" t="s">
        <v>3766</v>
      </c>
      <c r="F284" s="0" t="s">
        <v>2989</v>
      </c>
      <c r="G284" s="0" t="s">
        <v>3767</v>
      </c>
    </row>
    <row customHeight="1" ht="11.25">
      <c r="A285" s="0" t="s">
        <v>16</v>
      </c>
      <c r="B285" s="0" t="s">
        <v>3760</v>
      </c>
      <c r="C285" s="0" t="s">
        <v>3761</v>
      </c>
      <c r="D285" s="0" t="s">
        <v>3768</v>
      </c>
      <c r="E285" s="0" t="s">
        <v>3769</v>
      </c>
      <c r="F285" s="0" t="s">
        <v>2989</v>
      </c>
      <c r="G285" s="0" t="s">
        <v>3770</v>
      </c>
    </row>
    <row customHeight="1" ht="11.25">
      <c r="A286" s="0" t="s">
        <v>16</v>
      </c>
      <c r="B286" s="0" t="s">
        <v>3760</v>
      </c>
      <c r="C286" s="0" t="s">
        <v>3761</v>
      </c>
      <c r="D286" s="0" t="s">
        <v>3218</v>
      </c>
      <c r="E286" s="0" t="s">
        <v>3771</v>
      </c>
      <c r="F286" s="0" t="s">
        <v>2989</v>
      </c>
      <c r="G286" s="0" t="s">
        <v>3772</v>
      </c>
    </row>
    <row customHeight="1" ht="11.25">
      <c r="A287" s="0" t="s">
        <v>16</v>
      </c>
      <c r="B287" s="0" t="s">
        <v>3760</v>
      </c>
      <c r="C287" s="0" t="s">
        <v>3761</v>
      </c>
      <c r="D287" s="0" t="s">
        <v>3773</v>
      </c>
      <c r="E287" s="0" t="s">
        <v>3774</v>
      </c>
      <c r="F287" s="0" t="s">
        <v>2989</v>
      </c>
      <c r="G287" s="0" t="s">
        <v>3775</v>
      </c>
    </row>
    <row customHeight="1" ht="11.25">
      <c r="A288" s="0" t="s">
        <v>16</v>
      </c>
      <c r="B288" s="0" t="s">
        <v>3760</v>
      </c>
      <c r="C288" s="0" t="s">
        <v>3761</v>
      </c>
      <c r="D288" s="0" t="s">
        <v>3776</v>
      </c>
      <c r="E288" s="0" t="s">
        <v>3777</v>
      </c>
      <c r="F288" s="0" t="s">
        <v>2989</v>
      </c>
      <c r="G288" s="0" t="s">
        <v>3778</v>
      </c>
    </row>
    <row customHeight="1" ht="11.25">
      <c r="A289" s="0" t="s">
        <v>16</v>
      </c>
      <c r="B289" s="0" t="s">
        <v>3760</v>
      </c>
      <c r="C289" s="0" t="s">
        <v>3761</v>
      </c>
      <c r="D289" s="0" t="s">
        <v>3760</v>
      </c>
      <c r="E289" s="0" t="s">
        <v>3761</v>
      </c>
      <c r="F289" s="0" t="s">
        <v>2990</v>
      </c>
      <c r="G289" s="0" t="s">
        <v>3779</v>
      </c>
    </row>
    <row customHeight="1" ht="11.25">
      <c r="A290" s="0" t="s">
        <v>16</v>
      </c>
      <c r="B290" s="0" t="s">
        <v>3760</v>
      </c>
      <c r="C290" s="0" t="s">
        <v>3761</v>
      </c>
      <c r="D290" s="0" t="s">
        <v>3780</v>
      </c>
      <c r="E290" s="0" t="s">
        <v>3781</v>
      </c>
      <c r="F290" s="0" t="s">
        <v>2989</v>
      </c>
      <c r="G290" s="0" t="s">
        <v>3782</v>
      </c>
    </row>
    <row customHeight="1" ht="11.25">
      <c r="A291" s="0" t="s">
        <v>16</v>
      </c>
      <c r="B291" s="0" t="s">
        <v>3760</v>
      </c>
      <c r="C291" s="0" t="s">
        <v>3761</v>
      </c>
      <c r="D291" s="0" t="s">
        <v>3227</v>
      </c>
      <c r="E291" s="0" t="s">
        <v>3783</v>
      </c>
      <c r="F291" s="0" t="s">
        <v>2989</v>
      </c>
      <c r="G291" s="0" t="s">
        <v>3784</v>
      </c>
    </row>
    <row customHeight="1" ht="11.25">
      <c r="A292" s="0" t="s">
        <v>16</v>
      </c>
      <c r="B292" s="0" t="s">
        <v>3760</v>
      </c>
      <c r="C292" s="0" t="s">
        <v>3761</v>
      </c>
      <c r="D292" s="0" t="s">
        <v>3785</v>
      </c>
      <c r="E292" s="0" t="s">
        <v>3786</v>
      </c>
      <c r="F292" s="0" t="s">
        <v>3059</v>
      </c>
      <c r="G292" s="0" t="s">
        <v>3787</v>
      </c>
    </row>
    <row customHeight="1" ht="11.25">
      <c r="A293" s="0" t="s">
        <v>16</v>
      </c>
      <c r="B293" s="0" t="s">
        <v>3788</v>
      </c>
      <c r="C293" s="0" t="s">
        <v>3789</v>
      </c>
      <c r="D293" s="0" t="s">
        <v>3790</v>
      </c>
      <c r="E293" s="0" t="s">
        <v>3791</v>
      </c>
      <c r="F293" s="0" t="s">
        <v>2989</v>
      </c>
      <c r="G293" s="0" t="s">
        <v>3792</v>
      </c>
    </row>
    <row customHeight="1" ht="11.25">
      <c r="A294" s="0" t="s">
        <v>16</v>
      </c>
      <c r="B294" s="0" t="s">
        <v>3788</v>
      </c>
      <c r="C294" s="0" t="s">
        <v>3789</v>
      </c>
      <c r="D294" s="0" t="s">
        <v>3793</v>
      </c>
      <c r="E294" s="0" t="s">
        <v>3794</v>
      </c>
      <c r="F294" s="0" t="s">
        <v>2989</v>
      </c>
      <c r="G294" s="0" t="s">
        <v>3795</v>
      </c>
    </row>
    <row customHeight="1" ht="11.25">
      <c r="A295" s="0" t="s">
        <v>16</v>
      </c>
      <c r="B295" s="0" t="s">
        <v>3788</v>
      </c>
      <c r="C295" s="0" t="s">
        <v>3789</v>
      </c>
      <c r="D295" s="0" t="s">
        <v>3796</v>
      </c>
      <c r="E295" s="0" t="s">
        <v>3797</v>
      </c>
      <c r="F295" s="0" t="s">
        <v>2989</v>
      </c>
      <c r="G295" s="0" t="s">
        <v>3798</v>
      </c>
    </row>
    <row customHeight="1" ht="11.25">
      <c r="A296" s="0" t="s">
        <v>16</v>
      </c>
      <c r="B296" s="0" t="s">
        <v>3788</v>
      </c>
      <c r="C296" s="0" t="s">
        <v>3789</v>
      </c>
      <c r="D296" s="0" t="s">
        <v>3799</v>
      </c>
      <c r="E296" s="0" t="s">
        <v>3800</v>
      </c>
      <c r="F296" s="0" t="s">
        <v>2989</v>
      </c>
      <c r="G296" s="0" t="s">
        <v>3801</v>
      </c>
    </row>
    <row customHeight="1" ht="11.25">
      <c r="A297" s="0" t="s">
        <v>16</v>
      </c>
      <c r="B297" s="0" t="s">
        <v>3788</v>
      </c>
      <c r="C297" s="0" t="s">
        <v>3789</v>
      </c>
      <c r="D297" s="0" t="s">
        <v>3802</v>
      </c>
      <c r="E297" s="0" t="s">
        <v>3803</v>
      </c>
      <c r="F297" s="0" t="s">
        <v>2989</v>
      </c>
      <c r="G297" s="0" t="s">
        <v>3804</v>
      </c>
    </row>
    <row customHeight="1" ht="11.25">
      <c r="A298" s="0" t="s">
        <v>16</v>
      </c>
      <c r="B298" s="0" t="s">
        <v>3788</v>
      </c>
      <c r="C298" s="0" t="s">
        <v>3789</v>
      </c>
      <c r="D298" s="0" t="s">
        <v>3805</v>
      </c>
      <c r="E298" s="0" t="s">
        <v>3806</v>
      </c>
      <c r="F298" s="0" t="s">
        <v>2989</v>
      </c>
      <c r="G298" s="0" t="s">
        <v>3807</v>
      </c>
    </row>
    <row customHeight="1" ht="11.25">
      <c r="A299" s="0" t="s">
        <v>16</v>
      </c>
      <c r="B299" s="0" t="s">
        <v>3788</v>
      </c>
      <c r="C299" s="0" t="s">
        <v>3789</v>
      </c>
      <c r="D299" s="0" t="s">
        <v>3808</v>
      </c>
      <c r="E299" s="0" t="s">
        <v>3809</v>
      </c>
      <c r="F299" s="0" t="s">
        <v>2989</v>
      </c>
      <c r="G299" s="0" t="s">
        <v>3810</v>
      </c>
    </row>
    <row customHeight="1" ht="11.25">
      <c r="A300" s="0" t="s">
        <v>16</v>
      </c>
      <c r="B300" s="0" t="s">
        <v>3788</v>
      </c>
      <c r="C300" s="0" t="s">
        <v>3789</v>
      </c>
      <c r="D300" s="0" t="s">
        <v>3811</v>
      </c>
      <c r="E300" s="0" t="s">
        <v>3812</v>
      </c>
      <c r="F300" s="0" t="s">
        <v>2989</v>
      </c>
      <c r="G300" s="0" t="s">
        <v>3813</v>
      </c>
    </row>
    <row customHeight="1" ht="11.25">
      <c r="A301" s="0" t="s">
        <v>16</v>
      </c>
      <c r="B301" s="0" t="s">
        <v>3788</v>
      </c>
      <c r="C301" s="0" t="s">
        <v>3789</v>
      </c>
      <c r="D301" s="0" t="s">
        <v>3814</v>
      </c>
      <c r="E301" s="0" t="s">
        <v>3815</v>
      </c>
      <c r="F301" s="0" t="s">
        <v>2989</v>
      </c>
      <c r="G301" s="0" t="s">
        <v>3816</v>
      </c>
    </row>
    <row customHeight="1" ht="11.25">
      <c r="A302" s="0" t="s">
        <v>16</v>
      </c>
      <c r="B302" s="0" t="s">
        <v>3788</v>
      </c>
      <c r="C302" s="0" t="s">
        <v>3789</v>
      </c>
      <c r="D302" s="0" t="s">
        <v>3080</v>
      </c>
      <c r="E302" s="0" t="s">
        <v>3817</v>
      </c>
      <c r="F302" s="0" t="s">
        <v>2989</v>
      </c>
      <c r="G302" s="0" t="s">
        <v>3818</v>
      </c>
    </row>
    <row customHeight="1" ht="11.25">
      <c r="A303" s="0" t="s">
        <v>16</v>
      </c>
      <c r="B303" s="0" t="s">
        <v>3788</v>
      </c>
      <c r="C303" s="0" t="s">
        <v>3789</v>
      </c>
      <c r="D303" s="0" t="s">
        <v>3788</v>
      </c>
      <c r="E303" s="0" t="s">
        <v>3789</v>
      </c>
      <c r="F303" s="0" t="s">
        <v>2990</v>
      </c>
      <c r="G303" s="0" t="s">
        <v>3819</v>
      </c>
    </row>
    <row customHeight="1" ht="11.25">
      <c r="A304" s="0" t="s">
        <v>16</v>
      </c>
      <c r="B304" s="0" t="s">
        <v>3788</v>
      </c>
      <c r="C304" s="0" t="s">
        <v>3789</v>
      </c>
      <c r="D304" s="0" t="s">
        <v>3820</v>
      </c>
      <c r="E304" s="0" t="s">
        <v>3821</v>
      </c>
      <c r="F304" s="0" t="s">
        <v>3114</v>
      </c>
      <c r="G304" s="0" t="s">
        <v>3822</v>
      </c>
    </row>
    <row customHeight="1" ht="11.25">
      <c r="A305" s="0" t="s">
        <v>16</v>
      </c>
      <c r="B305" s="0" t="s">
        <v>3823</v>
      </c>
      <c r="C305" s="0" t="s">
        <v>3824</v>
      </c>
      <c r="D305" s="0" t="s">
        <v>3825</v>
      </c>
      <c r="E305" s="0" t="s">
        <v>3826</v>
      </c>
      <c r="F305" s="0" t="s">
        <v>2989</v>
      </c>
      <c r="G305" s="0" t="s">
        <v>3827</v>
      </c>
    </row>
    <row customHeight="1" ht="11.25">
      <c r="A306" s="0" t="s">
        <v>16</v>
      </c>
      <c r="B306" s="0" t="s">
        <v>3823</v>
      </c>
      <c r="C306" s="0" t="s">
        <v>3824</v>
      </c>
      <c r="D306" s="0" t="s">
        <v>3828</v>
      </c>
      <c r="E306" s="0" t="s">
        <v>3829</v>
      </c>
      <c r="F306" s="0" t="s">
        <v>2989</v>
      </c>
      <c r="G306" s="0" t="s">
        <v>3830</v>
      </c>
    </row>
    <row customHeight="1" ht="11.25">
      <c r="A307" s="0" t="s">
        <v>16</v>
      </c>
      <c r="B307" s="0" t="s">
        <v>3823</v>
      </c>
      <c r="C307" s="0" t="s">
        <v>3824</v>
      </c>
      <c r="D307" s="0" t="s">
        <v>3831</v>
      </c>
      <c r="E307" s="0" t="s">
        <v>3832</v>
      </c>
      <c r="F307" s="0" t="s">
        <v>2989</v>
      </c>
      <c r="G307" s="0" t="s">
        <v>3833</v>
      </c>
    </row>
    <row customHeight="1" ht="11.25">
      <c r="A308" s="0" t="s">
        <v>16</v>
      </c>
      <c r="B308" s="0" t="s">
        <v>3823</v>
      </c>
      <c r="C308" s="0" t="s">
        <v>3824</v>
      </c>
      <c r="D308" s="0" t="s">
        <v>3834</v>
      </c>
      <c r="E308" s="0" t="s">
        <v>3835</v>
      </c>
      <c r="F308" s="0" t="s">
        <v>2989</v>
      </c>
      <c r="G308" s="0" t="s">
        <v>3836</v>
      </c>
    </row>
    <row customHeight="1" ht="11.25">
      <c r="A309" s="0" t="s">
        <v>16</v>
      </c>
      <c r="B309" s="0" t="s">
        <v>3823</v>
      </c>
      <c r="C309" s="0" t="s">
        <v>3824</v>
      </c>
      <c r="D309" s="0" t="s">
        <v>3837</v>
      </c>
      <c r="E309" s="0" t="s">
        <v>3838</v>
      </c>
      <c r="F309" s="0" t="s">
        <v>2989</v>
      </c>
      <c r="G309" s="0" t="s">
        <v>3839</v>
      </c>
    </row>
    <row customHeight="1" ht="11.25">
      <c r="A310" s="0" t="s">
        <v>16</v>
      </c>
      <c r="B310" s="0" t="s">
        <v>3823</v>
      </c>
      <c r="C310" s="0" t="s">
        <v>3824</v>
      </c>
      <c r="D310" s="0" t="s">
        <v>3840</v>
      </c>
      <c r="E310" s="0" t="s">
        <v>3841</v>
      </c>
      <c r="F310" s="0" t="s">
        <v>2989</v>
      </c>
      <c r="G310" s="0" t="s">
        <v>3842</v>
      </c>
    </row>
    <row customHeight="1" ht="11.25">
      <c r="A311" s="0" t="s">
        <v>16</v>
      </c>
      <c r="B311" s="0" t="s">
        <v>3823</v>
      </c>
      <c r="C311" s="0" t="s">
        <v>3824</v>
      </c>
      <c r="D311" s="0" t="s">
        <v>3843</v>
      </c>
      <c r="E311" s="0" t="s">
        <v>3844</v>
      </c>
      <c r="F311" s="0" t="s">
        <v>2989</v>
      </c>
      <c r="G311" s="0" t="s">
        <v>3845</v>
      </c>
    </row>
    <row customHeight="1" ht="11.25">
      <c r="A312" s="0" t="s">
        <v>16</v>
      </c>
      <c r="B312" s="0" t="s">
        <v>3823</v>
      </c>
      <c r="C312" s="0" t="s">
        <v>3824</v>
      </c>
      <c r="D312" s="0" t="s">
        <v>3846</v>
      </c>
      <c r="E312" s="0" t="s">
        <v>3847</v>
      </c>
      <c r="F312" s="0" t="s">
        <v>2989</v>
      </c>
      <c r="G312" s="0" t="s">
        <v>3848</v>
      </c>
    </row>
    <row customHeight="1" ht="11.25">
      <c r="A313" s="0" t="s">
        <v>16</v>
      </c>
      <c r="B313" s="0" t="s">
        <v>3823</v>
      </c>
      <c r="C313" s="0" t="s">
        <v>3824</v>
      </c>
      <c r="D313" s="0" t="s">
        <v>3823</v>
      </c>
      <c r="E313" s="0" t="s">
        <v>3824</v>
      </c>
      <c r="F313" s="0" t="s">
        <v>2990</v>
      </c>
      <c r="G313" s="0" t="s">
        <v>3849</v>
      </c>
    </row>
    <row customHeight="1" ht="11.25">
      <c r="A314" s="0" t="s">
        <v>16</v>
      </c>
      <c r="B314" s="0" t="s">
        <v>3823</v>
      </c>
      <c r="C314" s="0" t="s">
        <v>3824</v>
      </c>
      <c r="D314" s="0" t="s">
        <v>3850</v>
      </c>
      <c r="E314" s="0" t="s">
        <v>3851</v>
      </c>
      <c r="F314" s="0" t="s">
        <v>3059</v>
      </c>
      <c r="G314" s="0" t="s">
        <v>3852</v>
      </c>
    </row>
    <row customHeight="1" ht="11.25">
      <c r="A315" s="0" t="s">
        <v>16</v>
      </c>
      <c r="B315" s="0" t="s">
        <v>3853</v>
      </c>
      <c r="C315" s="0" t="s">
        <v>3854</v>
      </c>
      <c r="D315" s="0" t="s">
        <v>3855</v>
      </c>
      <c r="E315" s="0" t="s">
        <v>3856</v>
      </c>
      <c r="F315" s="0" t="s">
        <v>2989</v>
      </c>
      <c r="G315" s="0" t="s">
        <v>3857</v>
      </c>
    </row>
    <row customHeight="1" ht="11.25">
      <c r="A316" s="0" t="s">
        <v>16</v>
      </c>
      <c r="B316" s="0" t="s">
        <v>3853</v>
      </c>
      <c r="C316" s="0" t="s">
        <v>3854</v>
      </c>
      <c r="D316" s="0" t="s">
        <v>3135</v>
      </c>
      <c r="E316" s="0" t="s">
        <v>3858</v>
      </c>
      <c r="F316" s="0" t="s">
        <v>2989</v>
      </c>
      <c r="G316" s="0" t="s">
        <v>3859</v>
      </c>
    </row>
    <row customHeight="1" ht="11.25">
      <c r="A317" s="0" t="s">
        <v>16</v>
      </c>
      <c r="B317" s="0" t="s">
        <v>3853</v>
      </c>
      <c r="C317" s="0" t="s">
        <v>3854</v>
      </c>
      <c r="D317" s="0" t="s">
        <v>3860</v>
      </c>
      <c r="E317" s="0" t="s">
        <v>3861</v>
      </c>
      <c r="F317" s="0" t="s">
        <v>2989</v>
      </c>
      <c r="G317" s="0" t="s">
        <v>3862</v>
      </c>
    </row>
    <row customHeight="1" ht="11.25">
      <c r="A318" s="0" t="s">
        <v>16</v>
      </c>
      <c r="B318" s="0" t="s">
        <v>3853</v>
      </c>
      <c r="C318" s="0" t="s">
        <v>3854</v>
      </c>
      <c r="D318" s="0" t="s">
        <v>3837</v>
      </c>
      <c r="E318" s="0" t="s">
        <v>3863</v>
      </c>
      <c r="F318" s="0" t="s">
        <v>2989</v>
      </c>
      <c r="G318" s="0" t="s">
        <v>3864</v>
      </c>
    </row>
    <row customHeight="1" ht="11.25">
      <c r="A319" s="0" t="s">
        <v>16</v>
      </c>
      <c r="B319" s="0" t="s">
        <v>3853</v>
      </c>
      <c r="C319" s="0" t="s">
        <v>3854</v>
      </c>
      <c r="D319" s="0" t="s">
        <v>3865</v>
      </c>
      <c r="E319" s="0" t="s">
        <v>3866</v>
      </c>
      <c r="F319" s="0" t="s">
        <v>2989</v>
      </c>
      <c r="G319" s="0" t="s">
        <v>3867</v>
      </c>
    </row>
    <row customHeight="1" ht="11.25">
      <c r="A320" s="0" t="s">
        <v>16</v>
      </c>
      <c r="B320" s="0" t="s">
        <v>3853</v>
      </c>
      <c r="C320" s="0" t="s">
        <v>3854</v>
      </c>
      <c r="D320" s="0" t="s">
        <v>3814</v>
      </c>
      <c r="E320" s="0" t="s">
        <v>3868</v>
      </c>
      <c r="F320" s="0" t="s">
        <v>2989</v>
      </c>
      <c r="G320" s="0" t="s">
        <v>3869</v>
      </c>
    </row>
    <row customHeight="1" ht="11.25">
      <c r="A321" s="0" t="s">
        <v>16</v>
      </c>
      <c r="B321" s="0" t="s">
        <v>3853</v>
      </c>
      <c r="C321" s="0" t="s">
        <v>3854</v>
      </c>
      <c r="D321" s="0" t="s">
        <v>3870</v>
      </c>
      <c r="E321" s="0" t="s">
        <v>3871</v>
      </c>
      <c r="F321" s="0" t="s">
        <v>2989</v>
      </c>
      <c r="G321" s="0" t="s">
        <v>3872</v>
      </c>
    </row>
    <row customHeight="1" ht="11.25">
      <c r="A322" s="0" t="s">
        <v>16</v>
      </c>
      <c r="B322" s="0" t="s">
        <v>3853</v>
      </c>
      <c r="C322" s="0" t="s">
        <v>3854</v>
      </c>
      <c r="D322" s="0" t="s">
        <v>3873</v>
      </c>
      <c r="E322" s="0" t="s">
        <v>3874</v>
      </c>
      <c r="F322" s="0" t="s">
        <v>2989</v>
      </c>
      <c r="G322" s="0" t="s">
        <v>3875</v>
      </c>
    </row>
    <row customHeight="1" ht="11.25">
      <c r="A323" s="0" t="s">
        <v>16</v>
      </c>
      <c r="B323" s="0" t="s">
        <v>3853</v>
      </c>
      <c r="C323" s="0" t="s">
        <v>3854</v>
      </c>
      <c r="D323" s="0" t="s">
        <v>3853</v>
      </c>
      <c r="E323" s="0" t="s">
        <v>3854</v>
      </c>
      <c r="F323" s="0" t="s">
        <v>2990</v>
      </c>
      <c r="G323" s="0" t="s">
        <v>3876</v>
      </c>
    </row>
    <row customHeight="1" ht="11.25">
      <c r="A324" s="0" t="s">
        <v>16</v>
      </c>
      <c r="B324" s="0" t="s">
        <v>3853</v>
      </c>
      <c r="C324" s="0" t="s">
        <v>3854</v>
      </c>
      <c r="D324" s="0" t="s">
        <v>3877</v>
      </c>
      <c r="E324" s="0" t="s">
        <v>3878</v>
      </c>
      <c r="F324" s="0" t="s">
        <v>3059</v>
      </c>
      <c r="G324" s="0" t="s">
        <v>3879</v>
      </c>
    </row>
    <row customHeight="1" ht="11.25">
      <c r="A325" s="0" t="s">
        <v>16</v>
      </c>
      <c r="B325" s="0" t="s">
        <v>3880</v>
      </c>
      <c r="C325" s="0" t="s">
        <v>3881</v>
      </c>
      <c r="D325" s="0" t="s">
        <v>3882</v>
      </c>
      <c r="E325" s="0" t="s">
        <v>3883</v>
      </c>
      <c r="F325" s="0" t="s">
        <v>2989</v>
      </c>
      <c r="G325" s="0" t="s">
        <v>3884</v>
      </c>
    </row>
    <row customHeight="1" ht="11.25">
      <c r="A326" s="0" t="s">
        <v>16</v>
      </c>
      <c r="B326" s="0" t="s">
        <v>3880</v>
      </c>
      <c r="C326" s="0" t="s">
        <v>3881</v>
      </c>
      <c r="D326" s="0" t="s">
        <v>2995</v>
      </c>
      <c r="E326" s="0" t="s">
        <v>3885</v>
      </c>
      <c r="F326" s="0" t="s">
        <v>2989</v>
      </c>
      <c r="G326" s="0" t="s">
        <v>3886</v>
      </c>
    </row>
    <row customHeight="1" ht="11.25">
      <c r="A327" s="0" t="s">
        <v>16</v>
      </c>
      <c r="B327" s="0" t="s">
        <v>3880</v>
      </c>
      <c r="C327" s="0" t="s">
        <v>3881</v>
      </c>
      <c r="D327" s="0" t="s">
        <v>3887</v>
      </c>
      <c r="E327" s="0" t="s">
        <v>3888</v>
      </c>
      <c r="F327" s="0" t="s">
        <v>2989</v>
      </c>
      <c r="G327" s="0" t="s">
        <v>3889</v>
      </c>
    </row>
    <row customHeight="1" ht="11.25">
      <c r="A328" s="0" t="s">
        <v>16</v>
      </c>
      <c r="B328" s="0" t="s">
        <v>3880</v>
      </c>
      <c r="C328" s="0" t="s">
        <v>3881</v>
      </c>
      <c r="D328" s="0" t="s">
        <v>3890</v>
      </c>
      <c r="E328" s="0" t="s">
        <v>3891</v>
      </c>
      <c r="F328" s="0" t="s">
        <v>2989</v>
      </c>
      <c r="G328" s="0" t="s">
        <v>3892</v>
      </c>
    </row>
    <row customHeight="1" ht="11.25">
      <c r="A329" s="0" t="s">
        <v>16</v>
      </c>
      <c r="B329" s="0" t="s">
        <v>3880</v>
      </c>
      <c r="C329" s="0" t="s">
        <v>3881</v>
      </c>
      <c r="D329" s="0" t="s">
        <v>3893</v>
      </c>
      <c r="E329" s="0" t="s">
        <v>3894</v>
      </c>
      <c r="F329" s="0" t="s">
        <v>2989</v>
      </c>
      <c r="G329" s="0" t="s">
        <v>3895</v>
      </c>
    </row>
    <row customHeight="1" ht="11.25">
      <c r="A330" s="0" t="s">
        <v>16</v>
      </c>
      <c r="B330" s="0" t="s">
        <v>3880</v>
      </c>
      <c r="C330" s="0" t="s">
        <v>3881</v>
      </c>
      <c r="D330" s="0" t="s">
        <v>3068</v>
      </c>
      <c r="E330" s="0" t="s">
        <v>3896</v>
      </c>
      <c r="F330" s="0" t="s">
        <v>2989</v>
      </c>
      <c r="G330" s="0" t="s">
        <v>3897</v>
      </c>
    </row>
    <row customHeight="1" ht="11.25">
      <c r="A331" s="0" t="s">
        <v>16</v>
      </c>
      <c r="B331" s="0" t="s">
        <v>3880</v>
      </c>
      <c r="C331" s="0" t="s">
        <v>3881</v>
      </c>
      <c r="D331" s="0" t="s">
        <v>3898</v>
      </c>
      <c r="E331" s="0" t="s">
        <v>3899</v>
      </c>
      <c r="F331" s="0" t="s">
        <v>2989</v>
      </c>
      <c r="G331" s="0" t="s">
        <v>3900</v>
      </c>
    </row>
    <row customHeight="1" ht="11.25">
      <c r="A332" s="0" t="s">
        <v>16</v>
      </c>
      <c r="B332" s="0" t="s">
        <v>3880</v>
      </c>
      <c r="C332" s="0" t="s">
        <v>3881</v>
      </c>
      <c r="D332" s="0" t="s">
        <v>3901</v>
      </c>
      <c r="E332" s="0" t="s">
        <v>3902</v>
      </c>
      <c r="F332" s="0" t="s">
        <v>2989</v>
      </c>
      <c r="G332" s="0" t="s">
        <v>3903</v>
      </c>
    </row>
    <row customHeight="1" ht="11.25">
      <c r="A333" s="0" t="s">
        <v>16</v>
      </c>
      <c r="B333" s="0" t="s">
        <v>3880</v>
      </c>
      <c r="C333" s="0" t="s">
        <v>3881</v>
      </c>
      <c r="D333" s="0" t="s">
        <v>3904</v>
      </c>
      <c r="E333" s="0" t="s">
        <v>3905</v>
      </c>
      <c r="F333" s="0" t="s">
        <v>2989</v>
      </c>
      <c r="G333" s="0" t="s">
        <v>3906</v>
      </c>
    </row>
    <row customHeight="1" ht="11.25">
      <c r="A334" s="0" t="s">
        <v>16</v>
      </c>
      <c r="B334" s="0" t="s">
        <v>3880</v>
      </c>
      <c r="C334" s="0" t="s">
        <v>3881</v>
      </c>
      <c r="D334" s="0" t="s">
        <v>3907</v>
      </c>
      <c r="E334" s="0" t="s">
        <v>3908</v>
      </c>
      <c r="F334" s="0" t="s">
        <v>2989</v>
      </c>
      <c r="G334" s="0" t="s">
        <v>3909</v>
      </c>
    </row>
    <row customHeight="1" ht="11.25">
      <c r="A335" s="0" t="s">
        <v>16</v>
      </c>
      <c r="B335" s="0" t="s">
        <v>3880</v>
      </c>
      <c r="C335" s="0" t="s">
        <v>3881</v>
      </c>
      <c r="D335" s="0" t="s">
        <v>3910</v>
      </c>
      <c r="E335" s="0" t="s">
        <v>3911</v>
      </c>
      <c r="F335" s="0" t="s">
        <v>2989</v>
      </c>
      <c r="G335" s="0" t="s">
        <v>3912</v>
      </c>
    </row>
    <row customHeight="1" ht="11.25">
      <c r="A336" s="0" t="s">
        <v>16</v>
      </c>
      <c r="B336" s="0" t="s">
        <v>3880</v>
      </c>
      <c r="C336" s="0" t="s">
        <v>3881</v>
      </c>
      <c r="D336" s="0" t="s">
        <v>3076</v>
      </c>
      <c r="E336" s="0" t="s">
        <v>3913</v>
      </c>
      <c r="F336" s="0" t="s">
        <v>2989</v>
      </c>
      <c r="G336" s="0" t="s">
        <v>3914</v>
      </c>
    </row>
    <row customHeight="1" ht="11.25">
      <c r="A337" s="0" t="s">
        <v>16</v>
      </c>
      <c r="B337" s="0" t="s">
        <v>3880</v>
      </c>
      <c r="C337" s="0" t="s">
        <v>3881</v>
      </c>
      <c r="D337" s="0" t="s">
        <v>3915</v>
      </c>
      <c r="E337" s="0" t="s">
        <v>3916</v>
      </c>
      <c r="F337" s="0" t="s">
        <v>2989</v>
      </c>
      <c r="G337" s="0" t="s">
        <v>3917</v>
      </c>
    </row>
    <row customHeight="1" ht="11.25">
      <c r="A338" s="0" t="s">
        <v>16</v>
      </c>
      <c r="B338" s="0" t="s">
        <v>3880</v>
      </c>
      <c r="C338" s="0" t="s">
        <v>3881</v>
      </c>
      <c r="D338" s="0" t="s">
        <v>3918</v>
      </c>
      <c r="E338" s="0" t="s">
        <v>3919</v>
      </c>
      <c r="F338" s="0" t="s">
        <v>2989</v>
      </c>
      <c r="G338" s="0" t="s">
        <v>3920</v>
      </c>
    </row>
    <row customHeight="1" ht="11.25">
      <c r="A339" s="0" t="s">
        <v>16</v>
      </c>
      <c r="B339" s="0" t="s">
        <v>3880</v>
      </c>
      <c r="C339" s="0" t="s">
        <v>3881</v>
      </c>
      <c r="D339" s="0" t="s">
        <v>3638</v>
      </c>
      <c r="E339" s="0" t="s">
        <v>3921</v>
      </c>
      <c r="F339" s="0" t="s">
        <v>2989</v>
      </c>
      <c r="G339" s="0" t="s">
        <v>3922</v>
      </c>
    </row>
    <row customHeight="1" ht="11.25">
      <c r="A340" s="0" t="s">
        <v>16</v>
      </c>
      <c r="B340" s="0" t="s">
        <v>3880</v>
      </c>
      <c r="C340" s="0" t="s">
        <v>3881</v>
      </c>
      <c r="D340" s="0" t="s">
        <v>3923</v>
      </c>
      <c r="E340" s="0" t="s">
        <v>3924</v>
      </c>
      <c r="F340" s="0" t="s">
        <v>2989</v>
      </c>
      <c r="G340" s="0" t="s">
        <v>3925</v>
      </c>
    </row>
    <row customHeight="1" ht="11.25">
      <c r="A341" s="0" t="s">
        <v>16</v>
      </c>
      <c r="B341" s="0" t="s">
        <v>3880</v>
      </c>
      <c r="C341" s="0" t="s">
        <v>3881</v>
      </c>
      <c r="D341" s="0" t="s">
        <v>3926</v>
      </c>
      <c r="E341" s="0" t="s">
        <v>3927</v>
      </c>
      <c r="F341" s="0" t="s">
        <v>2989</v>
      </c>
      <c r="G341" s="0" t="s">
        <v>3928</v>
      </c>
    </row>
    <row customHeight="1" ht="11.25">
      <c r="A342" s="0" t="s">
        <v>16</v>
      </c>
      <c r="B342" s="0" t="s">
        <v>3880</v>
      </c>
      <c r="C342" s="0" t="s">
        <v>3881</v>
      </c>
      <c r="D342" s="0" t="s">
        <v>3929</v>
      </c>
      <c r="E342" s="0" t="s">
        <v>3930</v>
      </c>
      <c r="F342" s="0" t="s">
        <v>2989</v>
      </c>
      <c r="G342" s="0" t="s">
        <v>3931</v>
      </c>
    </row>
    <row customHeight="1" ht="11.25">
      <c r="A343" s="0" t="s">
        <v>16</v>
      </c>
      <c r="B343" s="0" t="s">
        <v>3880</v>
      </c>
      <c r="C343" s="0" t="s">
        <v>3881</v>
      </c>
      <c r="D343" s="0" t="s">
        <v>3880</v>
      </c>
      <c r="E343" s="0" t="s">
        <v>3881</v>
      </c>
      <c r="F343" s="0" t="s">
        <v>2990</v>
      </c>
      <c r="G343" s="0" t="s">
        <v>3932</v>
      </c>
    </row>
    <row customHeight="1" ht="11.25">
      <c r="A344" s="0" t="s">
        <v>16</v>
      </c>
      <c r="B344" s="0" t="s">
        <v>3933</v>
      </c>
      <c r="C344" s="0" t="s">
        <v>3934</v>
      </c>
      <c r="D344" s="0" t="s">
        <v>3933</v>
      </c>
      <c r="E344" s="0" t="s">
        <v>3934</v>
      </c>
      <c r="F344" s="0" t="s">
        <v>3935</v>
      </c>
      <c r="G344" s="0" t="s">
        <v>3936</v>
      </c>
    </row>
    <row customHeight="1" ht="11.25">
      <c r="A345" s="0" t="s">
        <v>16</v>
      </c>
      <c r="B345" s="0" t="s">
        <v>104</v>
      </c>
      <c r="C345" s="0" t="s">
        <v>105</v>
      </c>
      <c r="D345" s="0" t="s">
        <v>104</v>
      </c>
      <c r="E345" s="0" t="s">
        <v>105</v>
      </c>
      <c r="F345" s="0" t="s">
        <v>3935</v>
      </c>
      <c r="G345" s="0" t="s">
        <v>103</v>
      </c>
    </row>
    <row customHeight="1" ht="11.25">
      <c r="A346" s="0" t="s">
        <v>16</v>
      </c>
      <c r="B346" s="0" t="s">
        <v>3937</v>
      </c>
      <c r="C346" s="0" t="s">
        <v>3938</v>
      </c>
      <c r="D346" s="0" t="s">
        <v>3937</v>
      </c>
      <c r="E346" s="0" t="s">
        <v>3938</v>
      </c>
      <c r="F346" s="0" t="s">
        <v>3935</v>
      </c>
      <c r="G346" s="0" t="s">
        <v>3939</v>
      </c>
    </row>
    <row customHeight="1" ht="11.25">
      <c r="A347" s="0" t="s">
        <v>16</v>
      </c>
      <c r="B347" s="0" t="s">
        <v>3940</v>
      </c>
      <c r="C347" s="0" t="s">
        <v>3941</v>
      </c>
      <c r="D347" s="0" t="s">
        <v>3940</v>
      </c>
      <c r="E347" s="0" t="s">
        <v>3941</v>
      </c>
      <c r="F347" s="0" t="s">
        <v>3935</v>
      </c>
      <c r="G347" s="0" t="s">
        <v>3942</v>
      </c>
    </row>
    <row customHeight="1" ht="11.25">
      <c r="A348" s="0" t="s">
        <v>16</v>
      </c>
      <c r="B348" s="0" t="s">
        <v>3943</v>
      </c>
      <c r="C348" s="0" t="s">
        <v>3944</v>
      </c>
      <c r="D348" s="0" t="s">
        <v>3943</v>
      </c>
      <c r="E348" s="0" t="s">
        <v>3944</v>
      </c>
      <c r="F348" s="0" t="s">
        <v>3935</v>
      </c>
      <c r="G348" s="0" t="s">
        <v>3945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0D7C88-BD48-ACF4-1808-C4EF6237825E}"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3987</v>
      </c>
      <c r="B1" s="835" t="s">
        <v>3988</v>
      </c>
      <c r="C1" s="835" t="s">
        <v>1171</v>
      </c>
    </row>
    <row customHeight="1" ht="11.25">
      <c r="A2" s="835">
        <v>4189678</v>
      </c>
      <c r="B2" s="835" t="s">
        <v>3989</v>
      </c>
      <c r="C2" s="835" t="s">
        <v>3990</v>
      </c>
    </row>
    <row customHeight="1" ht="11.25">
      <c r="A3" s="835">
        <v>4190415</v>
      </c>
      <c r="B3" s="835" t="s">
        <v>3991</v>
      </c>
      <c r="C3" s="835" t="s">
        <v>3990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D6C028-2848-CD1E-3846-BE22CB67BC1C}"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3992</v>
      </c>
      <c r="B1" s="163" t="s">
        <v>3993</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28D5CC-7EE6-9BA8-E118-DFEE52D82EC5}"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3994</v>
      </c>
      <c r="B1" s="0" t="b">
        <v>1</v>
      </c>
    </row>
    <row customHeight="1" ht="11.25">
      <c r="A2" s="0" t="s">
        <v>3995</v>
      </c>
      <c r="B2" s="0" t="b">
        <v>0</v>
      </c>
    </row>
    <row customHeight="1" ht="11.25">
      <c r="A3" s="0" t="s">
        <v>3996</v>
      </c>
      <c r="B3" s="0" t="b">
        <v>1</v>
      </c>
    </row>
    <row customHeight="1" ht="11.25">
      <c r="A4" s="0" t="s">
        <v>3997</v>
      </c>
      <c r="B4" s="0" t="b">
        <v>0</v>
      </c>
    </row>
    <row customHeight="1" ht="11.25">
      <c r="A5" s="0" t="s">
        <v>3998</v>
      </c>
      <c r="B5" s="0" t="b">
        <v>0</v>
      </c>
    </row>
    <row customHeight="1" ht="11.25">
      <c r="A6" s="0" t="s">
        <v>3999</v>
      </c>
      <c r="B6" s="0" t="b">
        <v>0</v>
      </c>
    </row>
    <row customHeight="1" ht="11.25">
      <c r="A7" s="0" t="s">
        <v>4000</v>
      </c>
      <c r="B7" s="0" t="b">
        <v>0</v>
      </c>
    </row>
    <row customHeight="1" ht="11.25">
      <c r="A8" s="0" t="s">
        <v>4001</v>
      </c>
      <c r="B8" s="0" t="b">
        <v>0</v>
      </c>
    </row>
    <row customHeight="1" ht="11.25">
      <c r="A9" s="0" t="s">
        <v>4002</v>
      </c>
      <c r="B9" s="0" t="b">
        <v>1</v>
      </c>
    </row>
    <row customHeight="1" ht="11.25">
      <c r="A10" s="0" t="s">
        <v>4003</v>
      </c>
      <c r="B10" s="0" t="b">
        <v>0</v>
      </c>
    </row>
    <row customHeight="1" ht="11.25">
      <c r="A11" s="0" t="s">
        <v>4004</v>
      </c>
      <c r="B11" s="0" t="b">
        <v>0</v>
      </c>
    </row>
    <row customHeight="1" ht="11.25">
      <c r="A12" s="0" t="s">
        <v>4005</v>
      </c>
      <c r="B12" s="0" t="b">
        <v>0</v>
      </c>
    </row>
    <row customHeight="1" ht="11.25">
      <c r="A13" s="0" t="s">
        <v>4006</v>
      </c>
      <c r="B13" s="0" t="b">
        <v>0</v>
      </c>
    </row>
    <row customHeight="1" ht="11.25">
      <c r="A14" s="0" t="s">
        <v>4007</v>
      </c>
      <c r="B14" s="0" t="b">
        <v>0</v>
      </c>
    </row>
    <row customHeight="1" ht="11.25">
      <c r="A15" s="0" t="s">
        <v>4008</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E5B2F8-05F4-3E08-808E-550BFFC81E3F}"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137918-21B1-7DD8-0871-E54268C3EA5B}"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4009</v>
      </c>
      <c r="B1" s="67" t="s">
        <v>4010</v>
      </c>
    </row>
    <row customHeight="1" ht="11.25">
      <c r="A2" s="64" t="s">
        <v>4011</v>
      </c>
      <c r="B2" s="64" t="s">
        <v>4012</v>
      </c>
    </row>
    <row customHeight="1" ht="11.25">
      <c r="A3" s="64" t="s">
        <v>4013</v>
      </c>
      <c r="B3" s="64" t="s">
        <v>4014</v>
      </c>
    </row>
    <row customHeight="1" ht="11.25">
      <c r="A4" s="64" t="s">
        <v>4015</v>
      </c>
      <c r="B4" s="64" t="s">
        <v>4016</v>
      </c>
    </row>
    <row customHeight="1" ht="11.25">
      <c r="A5" s="64" t="s">
        <v>4017</v>
      </c>
      <c r="B5" s="64" t="s">
        <v>4018</v>
      </c>
    </row>
    <row customHeight="1" ht="11.25">
      <c r="A6" s="64" t="s">
        <v>4019</v>
      </c>
      <c r="B6" s="64" t="s">
        <v>4020</v>
      </c>
    </row>
    <row customHeight="1" ht="11.25">
      <c r="A7" s="64" t="s">
        <v>4021</v>
      </c>
      <c r="B7" s="64" t="s">
        <v>4022</v>
      </c>
    </row>
    <row customHeight="1" ht="11.25">
      <c r="A8" s="64" t="s">
        <v>4023</v>
      </c>
      <c r="B8" s="64" t="s">
        <v>4024</v>
      </c>
    </row>
    <row customHeight="1" ht="11.25">
      <c r="A9" s="64" t="s">
        <v>4025</v>
      </c>
      <c r="B9" s="64" t="s">
        <v>4026</v>
      </c>
    </row>
    <row customHeight="1" ht="11.25">
      <c r="A10" s="64" t="s">
        <v>4027</v>
      </c>
      <c r="B10" s="64" t="s">
        <v>4028</v>
      </c>
    </row>
    <row customHeight="1" ht="11.25">
      <c r="A11" s="64" t="s">
        <v>4029</v>
      </c>
      <c r="B11" s="64" t="s">
        <v>4030</v>
      </c>
    </row>
    <row customHeight="1" ht="11.25">
      <c r="A12" s="64" t="s">
        <v>4031</v>
      </c>
      <c r="B12" s="64" t="s">
        <v>4032</v>
      </c>
    </row>
    <row customHeight="1" ht="11.25">
      <c r="A13" s="64" t="s">
        <v>4033</v>
      </c>
      <c r="B13" s="64" t="s">
        <v>4034</v>
      </c>
    </row>
    <row customHeight="1" ht="11.25">
      <c r="A14" s="64" t="s">
        <v>4035</v>
      </c>
      <c r="B14" s="64" t="s">
        <v>4036</v>
      </c>
    </row>
    <row customHeight="1" ht="11.25">
      <c r="A15" s="64" t="s">
        <v>4037</v>
      </c>
      <c r="B15" s="64" t="s">
        <v>4038</v>
      </c>
    </row>
    <row customHeight="1" ht="11.25">
      <c r="A16" s="64" t="s">
        <v>4039</v>
      </c>
      <c r="B16" s="64" t="s">
        <v>4040</v>
      </c>
    </row>
    <row customHeight="1" ht="11.25">
      <c r="A17" s="64" t="s">
        <v>4041</v>
      </c>
      <c r="B17" s="64" t="s">
        <v>4042</v>
      </c>
    </row>
    <row customHeight="1" ht="11.25">
      <c r="A18" s="64" t="s">
        <v>4043</v>
      </c>
      <c r="B18" s="64" t="s">
        <v>4044</v>
      </c>
    </row>
    <row customHeight="1" ht="11.25">
      <c r="A19" s="64" t="s">
        <v>4045</v>
      </c>
      <c r="B19" s="64" t="s">
        <v>4046</v>
      </c>
    </row>
    <row customHeight="1" ht="11.25">
      <c r="A20" s="64" t="s">
        <v>4047</v>
      </c>
      <c r="B20" s="64" t="s">
        <v>4048</v>
      </c>
    </row>
    <row customHeight="1" ht="11.25">
      <c r="A21" s="64" t="s">
        <v>4049</v>
      </c>
      <c r="B21" s="64" t="s">
        <v>4050</v>
      </c>
    </row>
    <row customHeight="1" ht="11.25">
      <c r="A22" s="64" t="s">
        <v>4051</v>
      </c>
      <c r="B22" s="64" t="s">
        <v>4052</v>
      </c>
    </row>
    <row customHeight="1" ht="11.25">
      <c r="A23" s="64" t="s">
        <v>4053</v>
      </c>
      <c r="B23" s="64" t="s">
        <v>4054</v>
      </c>
    </row>
    <row customHeight="1" ht="11.25">
      <c r="A24" s="64" t="s">
        <v>4055</v>
      </c>
      <c r="B24" s="64" t="s">
        <v>4056</v>
      </c>
    </row>
    <row customHeight="1" ht="11.25">
      <c r="A25" s="64" t="s">
        <v>4057</v>
      </c>
      <c r="B25" s="64" t="s">
        <v>4058</v>
      </c>
    </row>
    <row customHeight="1" ht="11.25">
      <c r="A26" s="64" t="s">
        <v>4059</v>
      </c>
      <c r="B26" s="64" t="s">
        <v>4060</v>
      </c>
    </row>
    <row customHeight="1" ht="11.25">
      <c r="A27" s="64" t="s">
        <v>4061</v>
      </c>
      <c r="B27" s="64" t="s">
        <v>4062</v>
      </c>
    </row>
    <row customHeight="1" ht="11.25">
      <c r="A28" s="64" t="s">
        <v>4063</v>
      </c>
      <c r="B28" s="64" t="s">
        <v>4064</v>
      </c>
    </row>
    <row customHeight="1" ht="11.25">
      <c r="A29" s="64" t="s">
        <v>4065</v>
      </c>
      <c r="B29" s="64" t="s">
        <v>4066</v>
      </c>
    </row>
    <row customHeight="1" ht="11.25">
      <c r="A30" s="64" t="s">
        <v>4067</v>
      </c>
      <c r="B30" s="64" t="s">
        <v>4068</v>
      </c>
    </row>
    <row customHeight="1" ht="11.25">
      <c r="A31" s="64" t="s">
        <v>4069</v>
      </c>
      <c r="B31" s="64" t="s">
        <v>4070</v>
      </c>
    </row>
    <row customHeight="1" ht="11.25">
      <c r="A32" s="64" t="s">
        <v>4071</v>
      </c>
      <c r="B32" s="64" t="s">
        <v>4072</v>
      </c>
    </row>
    <row customHeight="1" ht="11.25">
      <c r="A33" s="64" t="s">
        <v>4073</v>
      </c>
      <c r="B33" s="64" t="s">
        <v>4074</v>
      </c>
    </row>
    <row customHeight="1" ht="11.25">
      <c r="A34" s="64" t="s">
        <v>4075</v>
      </c>
      <c r="B34" s="64" t="s">
        <v>4076</v>
      </c>
    </row>
    <row customHeight="1" ht="11.25">
      <c r="A35" s="64" t="s">
        <v>4077</v>
      </c>
      <c r="B35" s="64" t="s">
        <v>4078</v>
      </c>
    </row>
    <row customHeight="1" ht="11.25">
      <c r="A36" s="64" t="s">
        <v>4079</v>
      </c>
      <c r="B36" s="64" t="s">
        <v>4080</v>
      </c>
    </row>
    <row customHeight="1" ht="11.25">
      <c r="A37" s="64" t="s">
        <v>4081</v>
      </c>
      <c r="B37" s="64" t="s">
        <v>4082</v>
      </c>
    </row>
    <row customHeight="1" ht="11.25">
      <c r="A38" s="64" t="s">
        <v>4083</v>
      </c>
      <c r="B38" s="64" t="s">
        <v>4084</v>
      </c>
    </row>
    <row customHeight="1" ht="11.25">
      <c r="A39" s="64" t="s">
        <v>4085</v>
      </c>
      <c r="B39" s="64" t="s">
        <v>4086</v>
      </c>
    </row>
    <row customHeight="1" ht="11.25">
      <c r="A40" s="64" t="s">
        <v>4087</v>
      </c>
      <c r="B40" s="64" t="s">
        <v>4088</v>
      </c>
    </row>
    <row customHeight="1" ht="11.25">
      <c r="A41" s="64" t="s">
        <v>4089</v>
      </c>
      <c r="B41" s="64" t="s">
        <v>4090</v>
      </c>
    </row>
    <row customHeight="1" ht="11.25">
      <c r="A42" s="64" t="s">
        <v>4091</v>
      </c>
      <c r="B42" s="64" t="s">
        <v>4092</v>
      </c>
    </row>
    <row customHeight="1" ht="11.25">
      <c r="A43" s="64" t="s">
        <v>4093</v>
      </c>
      <c r="B43" s="64" t="s">
        <v>4094</v>
      </c>
    </row>
    <row customHeight="1" ht="11.25">
      <c r="A44" s="64" t="s">
        <v>4095</v>
      </c>
      <c r="B44" s="64" t="s">
        <v>4096</v>
      </c>
    </row>
    <row customHeight="1" ht="11.25">
      <c r="A45" s="64" t="s">
        <v>4097</v>
      </c>
      <c r="B45" s="64" t="s">
        <v>4098</v>
      </c>
    </row>
    <row customHeight="1" ht="11.25">
      <c r="A46" s="64" t="s">
        <v>4099</v>
      </c>
      <c r="B46" s="64" t="s">
        <v>4100</v>
      </c>
    </row>
    <row customHeight="1" ht="11.25">
      <c r="A47" s="64" t="s">
        <v>4101</v>
      </c>
      <c r="B47" s="64" t="s">
        <v>4102</v>
      </c>
    </row>
    <row customHeight="1" ht="11.25">
      <c r="A48" s="64" t="s">
        <v>4103</v>
      </c>
      <c r="B48" s="64" t="s">
        <v>4104</v>
      </c>
    </row>
    <row customHeight="1" ht="11.25">
      <c r="A49" s="64" t="s">
        <v>4105</v>
      </c>
      <c r="B49" s="64" t="s">
        <v>4106</v>
      </c>
    </row>
    <row customHeight="1" ht="11.25">
      <c r="A50" s="64" t="s">
        <v>4107</v>
      </c>
      <c r="B50" s="64" t="s">
        <v>4108</v>
      </c>
    </row>
    <row customHeight="1" ht="11.25">
      <c r="A51" s="64" t="s">
        <v>4109</v>
      </c>
      <c r="B51" s="64" t="s">
        <v>4110</v>
      </c>
    </row>
    <row customHeight="1" ht="11.25">
      <c r="A52" s="64" t="s">
        <v>4111</v>
      </c>
      <c r="B52" s="64" t="s">
        <v>4112</v>
      </c>
    </row>
    <row customHeight="1" ht="11.25">
      <c r="A53" s="64" t="s">
        <v>4113</v>
      </c>
      <c r="B53" s="64" t="s">
        <v>4114</v>
      </c>
    </row>
    <row customHeight="1" ht="11.25">
      <c r="A54" s="64" t="s">
        <v>4115</v>
      </c>
      <c r="B54" s="64" t="s">
        <v>4116</v>
      </c>
    </row>
    <row customHeight="1" ht="11.25">
      <c r="A55" s="64" t="s">
        <v>4117</v>
      </c>
      <c r="B55" s="64" t="s">
        <v>4118</v>
      </c>
    </row>
    <row customHeight="1" ht="11.25">
      <c r="A56" s="64" t="s">
        <v>4119</v>
      </c>
      <c r="B56" s="64" t="s">
        <v>4120</v>
      </c>
    </row>
    <row customHeight="1" ht="11.25">
      <c r="A57" s="64" t="s">
        <v>4121</v>
      </c>
      <c r="B57" s="64" t="s">
        <v>4122</v>
      </c>
    </row>
    <row customHeight="1" ht="11.25">
      <c r="A58" s="64" t="s">
        <v>4123</v>
      </c>
      <c r="B58" s="64" t="s">
        <v>4124</v>
      </c>
    </row>
    <row customHeight="1" ht="11.25">
      <c r="A59" s="64" t="s">
        <v>4125</v>
      </c>
      <c r="B59" s="64" t="s">
        <v>4126</v>
      </c>
    </row>
    <row customHeight="1" ht="11.25">
      <c r="A60" s="64" t="s">
        <v>4127</v>
      </c>
      <c r="B60" s="64" t="s">
        <v>4128</v>
      </c>
    </row>
    <row customHeight="1" ht="11.25">
      <c r="A61" s="64"/>
      <c r="B61" s="64" t="s">
        <v>4129</v>
      </c>
    </row>
    <row customHeight="1" ht="11.25">
      <c r="A62" s="64"/>
      <c r="B62" s="64" t="s">
        <v>4130</v>
      </c>
    </row>
    <row customHeight="1" ht="11.25">
      <c r="A63" s="64"/>
      <c r="B63" s="64" t="s">
        <v>4131</v>
      </c>
    </row>
    <row customHeight="1" ht="11.25">
      <c r="A64" s="64"/>
      <c r="B64" s="64" t="s">
        <v>4132</v>
      </c>
    </row>
    <row customHeight="1" ht="11.25">
      <c r="A65" s="64"/>
      <c r="B65" s="64" t="s">
        <v>4133</v>
      </c>
    </row>
    <row customHeight="1" ht="11.25">
      <c r="A66" s="64"/>
      <c r="B66" s="64" t="s">
        <v>4134</v>
      </c>
    </row>
    <row customHeight="1" ht="11.25">
      <c r="A67" s="64"/>
      <c r="B67" s="64" t="s">
        <v>4135</v>
      </c>
    </row>
    <row customHeight="1" ht="11.25">
      <c r="A68" s="64"/>
      <c r="B68" s="64" t="s">
        <v>4136</v>
      </c>
    </row>
    <row customHeight="1" ht="11.25">
      <c r="A69" s="64"/>
      <c r="B69" s="64" t="s">
        <v>4137</v>
      </c>
    </row>
    <row customHeight="1" ht="11.25">
      <c r="A70" s="64"/>
      <c r="B70" s="64" t="s">
        <v>4138</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2ED0A8-26E8-4943-47AA-97E96282D3FE}"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4139</v>
      </c>
    </row>
    <row customHeight="1" ht="90">
      <c r="B2" s="94" t="s">
        <v>4140</v>
      </c>
    </row>
    <row customHeight="1" ht="67.5">
      <c r="B3" s="94" t="s">
        <v>4141</v>
      </c>
    </row>
    <row customHeight="1" ht="33.75">
      <c r="B4" s="94" t="s">
        <v>4142</v>
      </c>
    </row>
    <row customHeight="1" ht="11.25">
      <c r="B5" s="94" t="s">
        <v>4143</v>
      </c>
    </row>
    <row customHeight="1" ht="22.5">
      <c r="B6" s="94" t="s">
        <v>4144</v>
      </c>
    </row>
    <row customHeight="1" ht="22.5">
      <c r="B7" s="94" t="s">
        <v>4145</v>
      </c>
    </row>
    <row customHeight="1" ht="22.5">
      <c r="B8" s="94" t="s">
        <v>4146</v>
      </c>
    </row>
    <row customHeight="1" ht="22.5">
      <c r="B9" s="94" t="s">
        <v>4147</v>
      </c>
    </row>
    <row customHeight="1" ht="56.25">
      <c r="B10" s="94" t="s">
        <v>4148</v>
      </c>
    </row>
    <row customHeight="1" ht="12.75">
      <c r="B11" s="159" t="s">
        <v>4149</v>
      </c>
    </row>
    <row customHeight="1" ht="11.25">
      <c r="B12" s="93" t="s">
        <v>4150</v>
      </c>
    </row>
    <row customHeight="1" ht="22.5">
      <c r="B13" s="94" t="s">
        <v>4151</v>
      </c>
    </row>
    <row customHeight="1" ht="67.5">
      <c r="B14" s="94" t="s">
        <v>4152</v>
      </c>
    </row>
    <row customHeight="1" ht="22.5">
      <c r="B15" s="94" t="s">
        <v>4153</v>
      </c>
    </row>
    <row customHeight="1" ht="11.25">
      <c r="B16" s="93" t="s">
        <v>4154</v>
      </c>
      <c r="D16" s="100"/>
    </row>
    <row customHeight="1" ht="33.75">
      <c r="B17" s="94" t="s">
        <v>4155</v>
      </c>
    </row>
    <row customHeight="1" ht="33.75">
      <c r="B18" s="94" t="s">
        <v>4156</v>
      </c>
    </row>
    <row customHeight="1" ht="11.25">
      <c r="B19" s="94" t="s">
        <v>4157</v>
      </c>
    </row>
    <row customHeight="1" ht="33.75">
      <c r="B20" s="94" t="s">
        <v>4158</v>
      </c>
    </row>
    <row customHeight="1" ht="11.25">
      <c r="B21" s="93" t="s">
        <v>4159</v>
      </c>
    </row>
    <row customHeight="1" ht="11.25">
      <c r="B22" s="94" t="s">
        <v>4160</v>
      </c>
    </row>
    <row r="24" customHeight="1" ht="22.5">
      <c r="B24" s="161" t="s">
        <v>4161</v>
      </c>
    </row>
    <row r="26" customHeight="1" ht="11.25">
      <c r="B26" s="93" t="s">
        <v>4162</v>
      </c>
    </row>
    <row customHeight="1" ht="22.5">
      <c r="B27" s="160" t="s">
        <v>404</v>
      </c>
    </row>
    <row customHeight="1" ht="56.25">
      <c r="B28" s="160" t="s">
        <v>4163</v>
      </c>
    </row>
    <row customHeight="1" ht="11.25">
      <c r="B29" s="210" t="s">
        <v>4164</v>
      </c>
    </row>
    <row customHeight="1" ht="22.5">
      <c r="B30" s="160" t="s">
        <v>4165</v>
      </c>
    </row>
    <row r="32" customHeight="1" ht="11.25">
      <c r="A32" s="188"/>
      <c r="B32" s="189" t="s">
        <v>4166</v>
      </c>
    </row>
    <row customHeight="1" ht="14.25">
      <c r="A33" s="190">
        <v>1</v>
      </c>
      <c r="B33" s="191" t="s">
        <v>4167</v>
      </c>
    </row>
    <row customHeight="1" ht="14.25">
      <c r="A34" s="190">
        <v>2</v>
      </c>
      <c r="B34" s="191" t="s">
        <v>4168</v>
      </c>
    </row>
    <row customHeight="1" ht="11.25">
      <c r="B35" s="189" t="s">
        <v>4169</v>
      </c>
    </row>
    <row customHeight="1" ht="11.25">
      <c r="B36" s="191" t="s">
        <v>4170</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7B5D88-A8A5-A4B6-2865-B84800BEFBF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360</v>
      </c>
      <c r="I1" s="2217"/>
      <c r="V1" s="1607" t="s">
        <v>14</v>
      </c>
    </row>
    <row s="1635" customFormat="1" customHeight="1" ht="14.25" hidden="1">
      <c r="C2" s="1619"/>
      <c r="D2" s="2233" t="s">
        <v>113</v>
      </c>
      <c r="E2" s="2235"/>
      <c r="F2" s="1625"/>
      <c r="G2" s="1620" t="s">
        <v>113</v>
      </c>
      <c r="H2" s="1623"/>
      <c r="I2" s="1621"/>
      <c r="L2" s="1622"/>
      <c r="M2" s="1622"/>
      <c r="N2" s="1622"/>
      <c r="O2" s="1622" t="s">
        <v>390</v>
      </c>
      <c r="P2" s="1622"/>
      <c r="Q2" s="1622"/>
      <c r="R2" s="1624" t="s">
        <v>389</v>
      </c>
      <c r="S2" s="1624" t="s">
        <v>389</v>
      </c>
      <c r="T2" s="1622"/>
      <c r="U2" s="1622"/>
      <c r="V2" s="1618">
        <v>0</v>
      </c>
    </row>
    <row s="1635" customFormat="1" customHeight="1" ht="14.25" hidden="1">
      <c r="C3" s="1619"/>
      <c r="D3" s="2234"/>
      <c r="E3" s="2236"/>
      <c r="F3" s="405"/>
      <c r="G3" s="869"/>
      <c r="H3" s="869" t="s">
        <v>391</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364</v>
      </c>
      <c r="I5" s="702"/>
      <c r="J5" s="702"/>
      <c r="L5" s="1614"/>
      <c r="M5" s="1614"/>
      <c r="N5" s="1614"/>
      <c r="O5" s="1614"/>
      <c r="P5" s="1614"/>
      <c r="Q5" s="1614"/>
      <c r="R5" s="1614"/>
      <c r="S5" s="1614"/>
      <c r="T5" s="1614"/>
      <c r="U5" s="1614"/>
      <c r="V5" s="1613">
        <v>5</v>
      </c>
    </row>
    <row customHeight="1" ht="29.25">
      <c r="C6" s="1516"/>
      <c r="D6" s="2237" t="s">
        <v>392</v>
      </c>
      <c r="E6" s="2237"/>
      <c r="F6" s="2237"/>
      <c r="G6" s="2237"/>
      <c r="H6" s="2237"/>
      <c r="I6" s="2237"/>
      <c r="J6" s="491"/>
      <c r="K6" s="1615"/>
      <c r="V6" s="1607">
        <v>28</v>
      </c>
    </row>
    <row customHeight="1" ht="18">
      <c r="C7" s="1516"/>
      <c r="D7" s="2176" t="str">
        <f>IF(org=0,"Не определено",org)</f>
        <v>ООО "Энерго-Сервис"</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308</v>
      </c>
      <c r="E10" s="2219"/>
      <c r="F10" s="2219"/>
      <c r="G10" s="2219"/>
      <c r="H10" s="2219"/>
      <c r="I10" s="2219"/>
      <c r="J10" s="2223" t="s">
        <v>309</v>
      </c>
      <c r="V10" s="1607">
        <v>14</v>
      </c>
    </row>
    <row customHeight="1" ht="27.299999999999997">
      <c r="C11" s="1516"/>
      <c r="D11" s="2127" t="s">
        <v>92</v>
      </c>
      <c r="E11" s="2223" t="s">
        <v>109</v>
      </c>
      <c r="F11" s="2192" t="s">
        <v>92</v>
      </c>
      <c r="G11" s="2193"/>
      <c r="H11" s="2175" t="s">
        <v>393</v>
      </c>
      <c r="I11" s="2175" t="s">
        <v>394</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384</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113</v>
      </c>
      <c r="E14" s="2235"/>
      <c r="F14" s="1617"/>
      <c r="G14" s="1616" t="s">
        <v>113</v>
      </c>
      <c r="H14" s="1623"/>
      <c r="I14" s="1621"/>
      <c r="J14" s="2169" t="s">
        <v>395</v>
      </c>
      <c r="K14" s="1607"/>
      <c r="R14" s="500" t="s">
        <v>389</v>
      </c>
      <c r="S14" s="500" t="s">
        <v>389</v>
      </c>
      <c r="V14" s="1607">
        <v>14</v>
      </c>
    </row>
    <row customHeight="1" ht="14.699999999999998">
      <c r="A15" s="1607"/>
      <c r="C15" s="1516"/>
      <c r="D15" s="2234"/>
      <c r="E15" s="2236"/>
      <c r="F15" s="405"/>
      <c r="G15" s="869"/>
      <c r="H15" s="869" t="s">
        <v>391</v>
      </c>
      <c r="I15" s="313"/>
      <c r="J15" s="2170"/>
      <c r="K15" s="1607"/>
      <c r="R15" s="500"/>
      <c r="S15" s="500"/>
      <c r="V15" s="1607">
        <v>14</v>
      </c>
    </row>
    <row customHeight="1" ht="14.699999999999998">
      <c r="A16" s="1607"/>
      <c r="C16" s="1516"/>
      <c r="D16" s="405"/>
      <c r="E16" s="869" t="s">
        <v>125</v>
      </c>
      <c r="F16" s="313"/>
      <c r="G16" s="313"/>
      <c r="H16" s="406"/>
      <c r="I16" s="406"/>
      <c r="J16" s="2171"/>
      <c r="K16" s="1607"/>
      <c r="V16" s="1607">
        <v>14</v>
      </c>
    </row>
    <row customHeight="1" ht="14.699999999999998">
      <c r="K17" s="1607"/>
      <c r="V17" s="1607">
        <v>14</v>
      </c>
    </row>
    <row customHeight="1" ht="22.5" hidden="1">
      <c r="A18" s="1608" t="s">
        <v>86</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